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mmunitydevelopmentalli304.sharepoint.com/sites/Allies-CDADocuments/Shared Documents/Implemetation Teams/Lease-Purchase/"/>
    </mc:Choice>
  </mc:AlternateContent>
  <xr:revisionPtr revIDLastSave="393" documentId="8_{6F7FDDA6-058F-450F-8550-E5C23CBAA181}" xr6:coauthVersionLast="47" xr6:coauthVersionMax="47" xr10:uidLastSave="{9A7A8155-D4BF-4122-B50A-8946E2E1B845}"/>
  <bookViews>
    <workbookView xWindow="-45" yWindow="-16320" windowWidth="29040" windowHeight="15720" xr2:uid="{CB838756-A6D7-46AD-B054-7E7B2A51FB02}"/>
  </bookViews>
  <sheets>
    <sheet name="Lease-to-Own Mod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2" i="1" l="1"/>
  <c r="B51" i="1"/>
  <c r="B55" i="1"/>
  <c r="E43" i="1"/>
  <c r="E32" i="1"/>
  <c r="E34" i="1"/>
  <c r="E35" i="1"/>
  <c r="E29" i="1"/>
  <c r="D29" i="1"/>
  <c r="C29" i="1"/>
  <c r="B29" i="1"/>
  <c r="E27" i="1"/>
  <c r="D27" i="1"/>
  <c r="C27" i="1"/>
  <c r="B27" i="1"/>
  <c r="D43" i="1"/>
  <c r="V198" i="1"/>
  <c r="E44" i="1" s="1"/>
  <c r="V170" i="1"/>
  <c r="D44" i="1" s="1"/>
  <c r="L141" i="1"/>
  <c r="C44" i="1" s="1"/>
  <c r="P193" i="1"/>
  <c r="N193" i="1"/>
  <c r="L193" i="1"/>
  <c r="J193" i="1"/>
  <c r="H193" i="1"/>
  <c r="F193" i="1"/>
  <c r="D193" i="1"/>
  <c r="G136" i="1"/>
  <c r="B196" i="1"/>
  <c r="B168" i="1"/>
  <c r="B139" i="1"/>
  <c r="B110" i="1"/>
  <c r="Q165" i="1"/>
  <c r="J112" i="1"/>
  <c r="B44" i="1" s="1"/>
  <c r="B91" i="1"/>
  <c r="B5" i="1"/>
  <c r="B4" i="1"/>
  <c r="B7" i="1" s="1"/>
  <c r="G135" i="1"/>
  <c r="Q164" i="1"/>
  <c r="E107" i="1"/>
  <c r="B134" i="1"/>
  <c r="C134" i="1" s="1"/>
  <c r="D134" i="1" s="1"/>
  <c r="E134" i="1" s="1"/>
  <c r="F134" i="1" s="1"/>
  <c r="J141" i="1" l="1"/>
  <c r="C42" i="1" s="1"/>
  <c r="Q185" i="1" l="1"/>
  <c r="Q194" i="1" s="1"/>
  <c r="Q156" i="1"/>
  <c r="Q166" i="1" s="1"/>
  <c r="B184" i="1"/>
  <c r="C196" i="1"/>
  <c r="D196" i="1" s="1"/>
  <c r="E196" i="1" s="1"/>
  <c r="F196" i="1" s="1"/>
  <c r="G196" i="1" s="1"/>
  <c r="H196" i="1" s="1"/>
  <c r="I196" i="1" s="1"/>
  <c r="J196" i="1" s="1"/>
  <c r="K196" i="1" s="1"/>
  <c r="L196" i="1" s="1"/>
  <c r="M196" i="1" s="1"/>
  <c r="N196" i="1" s="1"/>
  <c r="O196" i="1" s="1"/>
  <c r="P196" i="1" s="1"/>
  <c r="C168" i="1"/>
  <c r="D168" i="1" s="1"/>
  <c r="E168" i="1" s="1"/>
  <c r="F168" i="1" s="1"/>
  <c r="G168" i="1" s="1"/>
  <c r="H168" i="1" s="1"/>
  <c r="I168" i="1" s="1"/>
  <c r="J168" i="1" s="1"/>
  <c r="K168" i="1" s="1"/>
  <c r="L168" i="1" s="1"/>
  <c r="M168" i="1" s="1"/>
  <c r="N168" i="1" s="1"/>
  <c r="O168" i="1" s="1"/>
  <c r="P168" i="1" s="1"/>
  <c r="B192" i="1"/>
  <c r="C192" i="1" s="1"/>
  <c r="D192" i="1" s="1"/>
  <c r="E192" i="1" s="1"/>
  <c r="F192" i="1" s="1"/>
  <c r="G192" i="1" s="1"/>
  <c r="H192" i="1" s="1"/>
  <c r="I192" i="1" s="1"/>
  <c r="J192" i="1" s="1"/>
  <c r="K192" i="1" s="1"/>
  <c r="L192" i="1" s="1"/>
  <c r="M192" i="1" s="1"/>
  <c r="N192" i="1" s="1"/>
  <c r="O192" i="1" s="1"/>
  <c r="P192" i="1" s="1"/>
  <c r="B189" i="1"/>
  <c r="C189" i="1" s="1"/>
  <c r="D189" i="1" s="1"/>
  <c r="E189" i="1" s="1"/>
  <c r="F189" i="1" s="1"/>
  <c r="G189" i="1" s="1"/>
  <c r="H189" i="1" s="1"/>
  <c r="I189" i="1" s="1"/>
  <c r="J189" i="1" s="1"/>
  <c r="K189" i="1" s="1"/>
  <c r="L189" i="1" s="1"/>
  <c r="M189" i="1" s="1"/>
  <c r="N189" i="1" s="1"/>
  <c r="O189" i="1" s="1"/>
  <c r="P189" i="1" s="1"/>
  <c r="C184" i="1"/>
  <c r="B183" i="1"/>
  <c r="B177" i="1"/>
  <c r="C174" i="1"/>
  <c r="D174" i="1" s="1"/>
  <c r="E174" i="1" s="1"/>
  <c r="F174" i="1" s="1"/>
  <c r="G174" i="1" s="1"/>
  <c r="H174" i="1" s="1"/>
  <c r="I174" i="1" s="1"/>
  <c r="J174" i="1" s="1"/>
  <c r="K174" i="1" s="1"/>
  <c r="L174" i="1" s="1"/>
  <c r="M174" i="1" s="1"/>
  <c r="N174" i="1" s="1"/>
  <c r="O174" i="1" s="1"/>
  <c r="P174" i="1" s="1"/>
  <c r="Q174" i="1" s="1"/>
  <c r="G127" i="1"/>
  <c r="G137" i="1" s="1"/>
  <c r="B11" i="1"/>
  <c r="C177" i="1" l="1"/>
  <c r="B178" i="1"/>
  <c r="B190" i="1"/>
  <c r="C190" i="1" s="1"/>
  <c r="D190" i="1" s="1"/>
  <c r="E190" i="1" s="1"/>
  <c r="F190" i="1" s="1"/>
  <c r="G190" i="1" s="1"/>
  <c r="H190" i="1" s="1"/>
  <c r="I190" i="1" s="1"/>
  <c r="J190" i="1" s="1"/>
  <c r="K190" i="1" s="1"/>
  <c r="L190" i="1" s="1"/>
  <c r="M190" i="1" s="1"/>
  <c r="N190" i="1" s="1"/>
  <c r="O190" i="1" s="1"/>
  <c r="P190" i="1" s="1"/>
  <c r="B191" i="1"/>
  <c r="D177" i="1"/>
  <c r="C155" i="1"/>
  <c r="C126" i="1"/>
  <c r="B163" i="1"/>
  <c r="C163" i="1" s="1"/>
  <c r="D163" i="1" s="1"/>
  <c r="E163" i="1" s="1"/>
  <c r="F163" i="1" s="1"/>
  <c r="G163" i="1" s="1"/>
  <c r="H163" i="1" s="1"/>
  <c r="I163" i="1" s="1"/>
  <c r="J163" i="1" s="1"/>
  <c r="K163" i="1" s="1"/>
  <c r="L163" i="1" s="1"/>
  <c r="M163" i="1" s="1"/>
  <c r="N163" i="1" s="1"/>
  <c r="O163" i="1" s="1"/>
  <c r="P163" i="1" s="1"/>
  <c r="B160" i="1"/>
  <c r="C160" i="1" s="1"/>
  <c r="D160" i="1" s="1"/>
  <c r="E160" i="1" s="1"/>
  <c r="F160" i="1" s="1"/>
  <c r="G160" i="1" s="1"/>
  <c r="H160" i="1" s="1"/>
  <c r="I160" i="1" s="1"/>
  <c r="J160" i="1" s="1"/>
  <c r="K160" i="1" s="1"/>
  <c r="L160" i="1" s="1"/>
  <c r="M160" i="1" s="1"/>
  <c r="N160" i="1" s="1"/>
  <c r="O160" i="1" s="1"/>
  <c r="P160" i="1" s="1"/>
  <c r="B131" i="1"/>
  <c r="B155" i="1"/>
  <c r="B126" i="1"/>
  <c r="B154" i="1"/>
  <c r="B125" i="1"/>
  <c r="B148" i="1"/>
  <c r="E99" i="1"/>
  <c r="E108" i="1" s="1"/>
  <c r="C98" i="1"/>
  <c r="C139" i="1"/>
  <c r="D139" i="1" s="1"/>
  <c r="E139" i="1" s="1"/>
  <c r="F139" i="1" s="1"/>
  <c r="B106" i="1"/>
  <c r="C106" i="1" s="1"/>
  <c r="B103" i="1"/>
  <c r="C103" i="1" s="1"/>
  <c r="B119" i="1"/>
  <c r="B98" i="1"/>
  <c r="B97" i="1"/>
  <c r="C32" i="1"/>
  <c r="D32" i="1"/>
  <c r="B32" i="1"/>
  <c r="C18" i="1"/>
  <c r="C17" i="1"/>
  <c r="C16" i="1"/>
  <c r="C15" i="1"/>
  <c r="B13" i="1"/>
  <c r="B12" i="1"/>
  <c r="C35" i="1"/>
  <c r="D35" i="1"/>
  <c r="B35" i="1"/>
  <c r="C34" i="1"/>
  <c r="D34" i="1"/>
  <c r="B34" i="1"/>
  <c r="B58" i="1"/>
  <c r="E33" i="1" s="1"/>
  <c r="C145" i="1"/>
  <c r="D145" i="1" s="1"/>
  <c r="E145" i="1" s="1"/>
  <c r="F145" i="1" s="1"/>
  <c r="G145" i="1" s="1"/>
  <c r="H145" i="1" s="1"/>
  <c r="I145" i="1" s="1"/>
  <c r="J145" i="1" s="1"/>
  <c r="K145" i="1" s="1"/>
  <c r="L145" i="1" s="1"/>
  <c r="M145" i="1" s="1"/>
  <c r="N145" i="1" s="1"/>
  <c r="O145" i="1" s="1"/>
  <c r="P145" i="1" s="1"/>
  <c r="Q145" i="1" s="1"/>
  <c r="C88" i="1"/>
  <c r="D88" i="1" s="1"/>
  <c r="E88" i="1" s="1"/>
  <c r="C116" i="1"/>
  <c r="D116" i="1" s="1"/>
  <c r="E116" i="1" s="1"/>
  <c r="F116" i="1" s="1"/>
  <c r="G116" i="1" s="1"/>
  <c r="C191" i="1" l="1"/>
  <c r="D191" i="1" s="1"/>
  <c r="E191" i="1" s="1"/>
  <c r="F191" i="1" s="1"/>
  <c r="G191" i="1" s="1"/>
  <c r="H191" i="1" s="1"/>
  <c r="I191" i="1" s="1"/>
  <c r="J191" i="1" s="1"/>
  <c r="K191" i="1" s="1"/>
  <c r="L191" i="1" s="1"/>
  <c r="M191" i="1" s="1"/>
  <c r="N191" i="1" s="1"/>
  <c r="O191" i="1" s="1"/>
  <c r="P191" i="1" s="1"/>
  <c r="B180" i="1"/>
  <c r="D178" i="1"/>
  <c r="D180" i="1"/>
  <c r="D155" i="1"/>
  <c r="C178" i="1"/>
  <c r="C180" i="1" s="1"/>
  <c r="C33" i="1"/>
  <c r="B188" i="1"/>
  <c r="E177" i="1"/>
  <c r="C131" i="1"/>
  <c r="D131" i="1" s="1"/>
  <c r="E131" i="1" s="1"/>
  <c r="F131" i="1" s="1"/>
  <c r="B133" i="1"/>
  <c r="B120" i="1"/>
  <c r="B161" i="1"/>
  <c r="C148" i="1"/>
  <c r="D126" i="1"/>
  <c r="B159" i="1"/>
  <c r="C159" i="1" s="1"/>
  <c r="D159" i="1" s="1"/>
  <c r="E159" i="1" s="1"/>
  <c r="F159" i="1" s="1"/>
  <c r="G159" i="1" s="1"/>
  <c r="H159" i="1" s="1"/>
  <c r="I159" i="1" s="1"/>
  <c r="J159" i="1" s="1"/>
  <c r="K159" i="1" s="1"/>
  <c r="L159" i="1" s="1"/>
  <c r="M159" i="1" s="1"/>
  <c r="N159" i="1" s="1"/>
  <c r="O159" i="1" s="1"/>
  <c r="P159" i="1" s="1"/>
  <c r="B149" i="1"/>
  <c r="B162" i="1"/>
  <c r="C119" i="1"/>
  <c r="B132" i="1"/>
  <c r="D103" i="1"/>
  <c r="B92" i="1"/>
  <c r="D106" i="1"/>
  <c r="B130" i="1"/>
  <c r="B104" i="1"/>
  <c r="C91" i="1"/>
  <c r="B105" i="1"/>
  <c r="D98" i="1"/>
  <c r="B102" i="1"/>
  <c r="C102" i="1" s="1"/>
  <c r="B19" i="1"/>
  <c r="B20" i="1" s="1"/>
  <c r="C14" i="1"/>
  <c r="C19" i="1" s="1"/>
  <c r="B33" i="1"/>
  <c r="D33" i="1"/>
  <c r="T198" i="1" l="1"/>
  <c r="E42" i="1" s="1"/>
  <c r="B151" i="1"/>
  <c r="B122" i="1"/>
  <c r="B94" i="1"/>
  <c r="B137" i="1"/>
  <c r="B142" i="1" s="1"/>
  <c r="E178" i="1"/>
  <c r="E180" i="1"/>
  <c r="B166" i="1"/>
  <c r="B171" i="1" s="1"/>
  <c r="E155" i="1"/>
  <c r="D148" i="1"/>
  <c r="D149" i="1" s="1"/>
  <c r="B108" i="1"/>
  <c r="B113" i="1" s="1"/>
  <c r="C188" i="1"/>
  <c r="B194" i="1"/>
  <c r="C149" i="1"/>
  <c r="C151" i="1" s="1"/>
  <c r="F177" i="1"/>
  <c r="C162" i="1"/>
  <c r="D162" i="1" s="1"/>
  <c r="E162" i="1" s="1"/>
  <c r="F162" i="1" s="1"/>
  <c r="G162" i="1" s="1"/>
  <c r="H162" i="1" s="1"/>
  <c r="I162" i="1" s="1"/>
  <c r="J162" i="1" s="1"/>
  <c r="K162" i="1" s="1"/>
  <c r="L162" i="1" s="1"/>
  <c r="M162" i="1" s="1"/>
  <c r="N162" i="1" s="1"/>
  <c r="O162" i="1" s="1"/>
  <c r="P162" i="1" s="1"/>
  <c r="C133" i="1"/>
  <c r="C161" i="1"/>
  <c r="D161" i="1" s="1"/>
  <c r="E161" i="1" s="1"/>
  <c r="F161" i="1" s="1"/>
  <c r="G161" i="1" s="1"/>
  <c r="H161" i="1" s="1"/>
  <c r="I161" i="1" s="1"/>
  <c r="J161" i="1" s="1"/>
  <c r="K161" i="1" s="1"/>
  <c r="L161" i="1" s="1"/>
  <c r="M161" i="1" s="1"/>
  <c r="N161" i="1" s="1"/>
  <c r="O161" i="1" s="1"/>
  <c r="P161" i="1" s="1"/>
  <c r="C120" i="1"/>
  <c r="C122" i="1" s="1"/>
  <c r="C132" i="1"/>
  <c r="D119" i="1"/>
  <c r="E126" i="1"/>
  <c r="C130" i="1"/>
  <c r="D102" i="1"/>
  <c r="C92" i="1"/>
  <c r="C94" i="1" s="1"/>
  <c r="D91" i="1"/>
  <c r="B28" i="1" s="1"/>
  <c r="B30" i="1" s="1"/>
  <c r="B31" i="1" s="1"/>
  <c r="C105" i="1"/>
  <c r="C104" i="1"/>
  <c r="C110" i="1"/>
  <c r="T170" i="1" l="1"/>
  <c r="D42" i="1" s="1"/>
  <c r="B198" i="1"/>
  <c r="B199" i="1"/>
  <c r="C137" i="1"/>
  <c r="C142" i="1" s="1"/>
  <c r="F178" i="1"/>
  <c r="F180" i="1" s="1"/>
  <c r="D166" i="1"/>
  <c r="F155" i="1"/>
  <c r="E166" i="1"/>
  <c r="C166" i="1"/>
  <c r="C171" i="1" s="1"/>
  <c r="D120" i="1"/>
  <c r="D122" i="1" s="1"/>
  <c r="E148" i="1"/>
  <c r="D151" i="1"/>
  <c r="D171" i="1" s="1"/>
  <c r="E93" i="1"/>
  <c r="E94" i="1" s="1"/>
  <c r="B38" i="1"/>
  <c r="B36" i="1"/>
  <c r="B37" i="1" s="1"/>
  <c r="C108" i="1"/>
  <c r="C113" i="1" s="1"/>
  <c r="D188" i="1"/>
  <c r="D194" i="1" s="1"/>
  <c r="C194" i="1"/>
  <c r="G177" i="1"/>
  <c r="B141" i="1"/>
  <c r="D130" i="1"/>
  <c r="F126" i="1"/>
  <c r="E119" i="1"/>
  <c r="D132" i="1"/>
  <c r="D133" i="1"/>
  <c r="D92" i="1"/>
  <c r="G112" i="1" s="1"/>
  <c r="D105" i="1"/>
  <c r="H112" i="1" s="1"/>
  <c r="B42" i="1" s="1"/>
  <c r="D104" i="1"/>
  <c r="D110" i="1"/>
  <c r="B112" i="1"/>
  <c r="D170" i="1" l="1"/>
  <c r="C198" i="1"/>
  <c r="C199" i="1"/>
  <c r="Q196" i="1"/>
  <c r="Q168" i="1"/>
  <c r="G139" i="1"/>
  <c r="E110" i="1"/>
  <c r="D137" i="1"/>
  <c r="D141" i="1" s="1"/>
  <c r="G178" i="1"/>
  <c r="G180" i="1"/>
  <c r="G155" i="1"/>
  <c r="F166" i="1"/>
  <c r="F148" i="1"/>
  <c r="E149" i="1"/>
  <c r="E120" i="1"/>
  <c r="E122" i="1" s="1"/>
  <c r="D94" i="1"/>
  <c r="D108" i="1"/>
  <c r="C141" i="1"/>
  <c r="E188" i="1"/>
  <c r="E194" i="1" s="1"/>
  <c r="H177" i="1"/>
  <c r="E130" i="1"/>
  <c r="E132" i="1"/>
  <c r="E133" i="1"/>
  <c r="F119" i="1"/>
  <c r="I112" i="1"/>
  <c r="B43" i="1" s="1"/>
  <c r="B41" i="1"/>
  <c r="C112" i="1"/>
  <c r="C170" i="1"/>
  <c r="E151" i="1" l="1"/>
  <c r="E170" i="1"/>
  <c r="E171" i="1"/>
  <c r="D142" i="1"/>
  <c r="D198" i="1"/>
  <c r="D199" i="1"/>
  <c r="E137" i="1"/>
  <c r="E142" i="1" s="1"/>
  <c r="H178" i="1"/>
  <c r="H180" i="1" s="1"/>
  <c r="H155" i="1"/>
  <c r="G166" i="1"/>
  <c r="G121" i="1"/>
  <c r="G148" i="1"/>
  <c r="F149" i="1"/>
  <c r="F151" i="1" s="1"/>
  <c r="D113" i="1"/>
  <c r="F120" i="1"/>
  <c r="C28" i="1"/>
  <c r="C30" i="1" s="1"/>
  <c r="C31" i="1" s="1"/>
  <c r="F188" i="1"/>
  <c r="F194" i="1" s="1"/>
  <c r="I177" i="1"/>
  <c r="F133" i="1"/>
  <c r="K141" i="1" s="1"/>
  <c r="F132" i="1"/>
  <c r="F130" i="1"/>
  <c r="D112" i="1"/>
  <c r="E112" i="1"/>
  <c r="F137" i="1" l="1"/>
  <c r="I141" i="1"/>
  <c r="C41" i="1" s="1"/>
  <c r="E141" i="1"/>
  <c r="F170" i="1"/>
  <c r="F171" i="1"/>
  <c r="E198" i="1"/>
  <c r="E199" i="1"/>
  <c r="I178" i="1"/>
  <c r="I180" i="1" s="1"/>
  <c r="I155" i="1"/>
  <c r="H166" i="1"/>
  <c r="F122" i="1"/>
  <c r="H148" i="1"/>
  <c r="G149" i="1"/>
  <c r="G151" i="1" s="1"/>
  <c r="G122" i="1"/>
  <c r="G141" i="1" s="1"/>
  <c r="C38" i="1"/>
  <c r="C36" i="1"/>
  <c r="C37" i="1" s="1"/>
  <c r="F112" i="1"/>
  <c r="K112" i="1" s="1"/>
  <c r="G188" i="1"/>
  <c r="G194" i="1" s="1"/>
  <c r="J177" i="1"/>
  <c r="C43" i="1"/>
  <c r="F141" i="1" l="1"/>
  <c r="F142" i="1"/>
  <c r="H141" i="1"/>
  <c r="M141" i="1" s="1"/>
  <c r="F198" i="1"/>
  <c r="F199" i="1"/>
  <c r="G170" i="1"/>
  <c r="G171" i="1"/>
  <c r="B40" i="1"/>
  <c r="J178" i="1"/>
  <c r="J180" i="1" s="1"/>
  <c r="J155" i="1"/>
  <c r="I166" i="1"/>
  <c r="I148" i="1"/>
  <c r="H149" i="1"/>
  <c r="H151" i="1" s="1"/>
  <c r="L112" i="1"/>
  <c r="B46" i="1" s="1"/>
  <c r="B45" i="1"/>
  <c r="H188" i="1"/>
  <c r="H194" i="1" s="1"/>
  <c r="K177" i="1"/>
  <c r="N141" i="1" l="1"/>
  <c r="C46" i="1" s="1"/>
  <c r="C45" i="1"/>
  <c r="G198" i="1"/>
  <c r="G199" i="1"/>
  <c r="H170" i="1"/>
  <c r="H171" i="1"/>
  <c r="K178" i="1"/>
  <c r="K180" i="1"/>
  <c r="K155" i="1"/>
  <c r="J166" i="1"/>
  <c r="J148" i="1"/>
  <c r="I149" i="1"/>
  <c r="I151" i="1" s="1"/>
  <c r="I188" i="1"/>
  <c r="I194" i="1" s="1"/>
  <c r="L177" i="1"/>
  <c r="H198" i="1" l="1"/>
  <c r="H199" i="1"/>
  <c r="I170" i="1"/>
  <c r="I171" i="1"/>
  <c r="L178" i="1"/>
  <c r="L180" i="1" s="1"/>
  <c r="L155" i="1"/>
  <c r="K166" i="1"/>
  <c r="K148" i="1"/>
  <c r="J149" i="1"/>
  <c r="J151" i="1" s="1"/>
  <c r="J188" i="1"/>
  <c r="J194" i="1" s="1"/>
  <c r="M177" i="1"/>
  <c r="J170" i="1" l="1"/>
  <c r="J171" i="1"/>
  <c r="I198" i="1"/>
  <c r="I199" i="1"/>
  <c r="M178" i="1"/>
  <c r="M180" i="1" s="1"/>
  <c r="M155" i="1"/>
  <c r="L166" i="1"/>
  <c r="L148" i="1"/>
  <c r="K149" i="1"/>
  <c r="K151" i="1" s="1"/>
  <c r="K188" i="1"/>
  <c r="K194" i="1" s="1"/>
  <c r="N177" i="1"/>
  <c r="J198" i="1" l="1"/>
  <c r="J199" i="1"/>
  <c r="K170" i="1"/>
  <c r="K171" i="1"/>
  <c r="N155" i="1"/>
  <c r="M166" i="1"/>
  <c r="N178" i="1"/>
  <c r="N180" i="1" s="1"/>
  <c r="M148" i="1"/>
  <c r="L149" i="1"/>
  <c r="L151" i="1" s="1"/>
  <c r="L188" i="1"/>
  <c r="L194" i="1" s="1"/>
  <c r="O177" i="1"/>
  <c r="K198" i="1" l="1"/>
  <c r="K199" i="1"/>
  <c r="L170" i="1"/>
  <c r="L171" i="1"/>
  <c r="O178" i="1"/>
  <c r="O180" i="1"/>
  <c r="O155" i="1"/>
  <c r="N166" i="1"/>
  <c r="N148" i="1"/>
  <c r="M149" i="1"/>
  <c r="M151" i="1" s="1"/>
  <c r="M188" i="1"/>
  <c r="M194" i="1" s="1"/>
  <c r="P177" i="1"/>
  <c r="L198" i="1" l="1"/>
  <c r="L199" i="1"/>
  <c r="M170" i="1"/>
  <c r="M171" i="1"/>
  <c r="P155" i="1"/>
  <c r="P166" i="1" s="1"/>
  <c r="O166" i="1"/>
  <c r="O148" i="1"/>
  <c r="N149" i="1"/>
  <c r="N151" i="1" s="1"/>
  <c r="P178" i="1"/>
  <c r="S198" i="1" s="1"/>
  <c r="E41" i="1" s="1"/>
  <c r="Q179" i="1"/>
  <c r="E28" i="1" s="1"/>
  <c r="E30" i="1" s="1"/>
  <c r="E31" i="1" s="1"/>
  <c r="N188" i="1"/>
  <c r="N194" i="1" s="1"/>
  <c r="E38" i="1" l="1"/>
  <c r="E36" i="1"/>
  <c r="E37" i="1" s="1"/>
  <c r="M198" i="1"/>
  <c r="M199" i="1"/>
  <c r="N170" i="1"/>
  <c r="N171" i="1"/>
  <c r="Q180" i="1"/>
  <c r="Q198" i="1" s="1"/>
  <c r="P180" i="1"/>
  <c r="P148" i="1"/>
  <c r="O149" i="1"/>
  <c r="O151" i="1" s="1"/>
  <c r="O188" i="1"/>
  <c r="O194" i="1" s="1"/>
  <c r="O170" i="1" l="1"/>
  <c r="O171" i="1"/>
  <c r="N198" i="1"/>
  <c r="N199" i="1"/>
  <c r="D28" i="1"/>
  <c r="D30" i="1" s="1"/>
  <c r="D31" i="1" s="1"/>
  <c r="Q150" i="1"/>
  <c r="Q151" i="1" s="1"/>
  <c r="Q170" i="1" s="1"/>
  <c r="P149" i="1"/>
  <c r="P188" i="1"/>
  <c r="P151" i="1" l="1"/>
  <c r="S170" i="1"/>
  <c r="P194" i="1"/>
  <c r="P198" i="1" s="1"/>
  <c r="O198" i="1"/>
  <c r="R198" i="1" s="1"/>
  <c r="O199" i="1"/>
  <c r="P170" i="1"/>
  <c r="P171" i="1"/>
  <c r="P199" i="1"/>
  <c r="D38" i="1"/>
  <c r="D36" i="1"/>
  <c r="D37" i="1" s="1"/>
  <c r="C40" i="1"/>
  <c r="D41" i="1"/>
  <c r="B170" i="1"/>
  <c r="R170" i="1" s="1"/>
  <c r="W170" i="1" s="1"/>
  <c r="D40" i="1" l="1"/>
  <c r="X170" i="1"/>
  <c r="D46" i="1" s="1"/>
  <c r="D45" i="1"/>
  <c r="W198" i="1"/>
  <c r="E40" i="1"/>
  <c r="X198" i="1" l="1"/>
  <c r="E46" i="1" s="1"/>
  <c r="E45" i="1"/>
</calcChain>
</file>

<file path=xl/sharedStrings.xml><?xml version="1.0" encoding="utf-8"?>
<sst xmlns="http://schemas.openxmlformats.org/spreadsheetml/2006/main" count="202" uniqueCount="114">
  <si>
    <t>Sources</t>
  </si>
  <si>
    <t>Uses</t>
  </si>
  <si>
    <t>Income</t>
  </si>
  <si>
    <t>Total Income</t>
  </si>
  <si>
    <t>Expenses</t>
  </si>
  <si>
    <t>Water - Reimbursed from Tenant</t>
  </si>
  <si>
    <t>Utilities - Paid Direclty By Tenant</t>
  </si>
  <si>
    <t>Total Expenses</t>
  </si>
  <si>
    <t xml:space="preserve">Net Income </t>
  </si>
  <si>
    <t>Loan</t>
  </si>
  <si>
    <t>ECE Lease-to-Own Home</t>
  </si>
  <si>
    <t>Purchase Price</t>
  </si>
  <si>
    <t>Rental Income</t>
  </si>
  <si>
    <t xml:space="preserve">Insurance </t>
  </si>
  <si>
    <t>Taxes</t>
  </si>
  <si>
    <t xml:space="preserve">Debt Service </t>
  </si>
  <si>
    <t>Success Fees</t>
  </si>
  <si>
    <t>Sale of Property</t>
  </si>
  <si>
    <t>Vacancy &amp; Collection Loss (7%)</t>
  </si>
  <si>
    <t>Securtiy during lease up</t>
  </si>
  <si>
    <t>Assumptions</t>
  </si>
  <si>
    <t>Insurance Per Month</t>
  </si>
  <si>
    <t>Maintenance/Maintenance Reserve</t>
  </si>
  <si>
    <t>Operating Reserve</t>
  </si>
  <si>
    <t>Tax Rate</t>
  </si>
  <si>
    <t>CDA's Borrowing Rate</t>
  </si>
  <si>
    <t>Homeowner's Borrowing Rate</t>
  </si>
  <si>
    <t>Water Bill/Month</t>
  </si>
  <si>
    <t>Utilities/Month</t>
  </si>
  <si>
    <t>Rent/Month</t>
  </si>
  <si>
    <t>Property Management Fee/Month</t>
  </si>
  <si>
    <t>Vacancy &amp; Collection Loss</t>
  </si>
  <si>
    <t>Security During Lease Up</t>
  </si>
  <si>
    <t>Set Up Fee</t>
  </si>
  <si>
    <t>Success Fee</t>
  </si>
  <si>
    <t>Late Fee</t>
  </si>
  <si>
    <t>Set Up Fees/Renewal Fees</t>
  </si>
  <si>
    <t>Renewal Fee</t>
  </si>
  <si>
    <t>CDA's Borrowing Amortization</t>
  </si>
  <si>
    <t>Homeowner's Borrowing Amortization</t>
  </si>
  <si>
    <t>Net Purchase Price</t>
  </si>
  <si>
    <t>CDA Purchase Price</t>
  </si>
  <si>
    <t>Borrower Purchase Price</t>
  </si>
  <si>
    <t>Buyer's Mortgage &amp; Interest Payment</t>
  </si>
  <si>
    <t>Buyer's Insurance Payment</t>
  </si>
  <si>
    <t>Buyer's Water Paterment</t>
  </si>
  <si>
    <t>Buyer's Utility Payment</t>
  </si>
  <si>
    <t>Vacancy &amp; Collection Loss/Reserve</t>
  </si>
  <si>
    <t>Maintenance Reserve</t>
  </si>
  <si>
    <t xml:space="preserve">Operating Reserve </t>
  </si>
  <si>
    <t xml:space="preserve">Property Management </t>
  </si>
  <si>
    <t>Total Monthly Cost</t>
  </si>
  <si>
    <t>Total Monthly cost as % of Neighborhood Rent</t>
  </si>
  <si>
    <t>Neighborhoood Median Rent/Month</t>
  </si>
  <si>
    <t>Water</t>
  </si>
  <si>
    <t>Utilities</t>
  </si>
  <si>
    <t>Insurance</t>
  </si>
  <si>
    <t>Mortgage &amp; Interest</t>
  </si>
  <si>
    <t xml:space="preserve">Outside DPA </t>
  </si>
  <si>
    <t>Outside DPA</t>
  </si>
  <si>
    <t xml:space="preserve"> Monthly Savings compared to Neigh. Rent</t>
  </si>
  <si>
    <t>Buyer's Tax Payment</t>
  </si>
  <si>
    <t>Inflation</t>
  </si>
  <si>
    <t xml:space="preserve">Maintenance Reserve </t>
  </si>
  <si>
    <t>Property Management</t>
  </si>
  <si>
    <t>Portion of Rent towards purchase price</t>
  </si>
  <si>
    <t>Base Purchase Price to Owner</t>
  </si>
  <si>
    <t>Gain/Loss</t>
  </si>
  <si>
    <t>Closing Fees</t>
  </si>
  <si>
    <t>Closing Costs</t>
  </si>
  <si>
    <t>Table 1.0 - Residents Start Up Costs</t>
  </si>
  <si>
    <t>Security Deposit</t>
  </si>
  <si>
    <t>First Months Rent</t>
  </si>
  <si>
    <t>Option Fee (paid from monthly rent)</t>
  </si>
  <si>
    <t>n/a</t>
  </si>
  <si>
    <t>Table 2.0 - Summary of Rental Period Monthly Expenses</t>
  </si>
  <si>
    <t>Resident</t>
  </si>
  <si>
    <t>CDA</t>
  </si>
  <si>
    <t>Example 1.0 - Sale After 3 Years</t>
  </si>
  <si>
    <t>Example 2.0 Sale After 5 Years</t>
  </si>
  <si>
    <t>Example 3 - Sale After 15 Years</t>
  </si>
  <si>
    <t>Example 4 - If new tenant every 2 years</t>
  </si>
  <si>
    <t>CDA Initial investment</t>
  </si>
  <si>
    <t>DCR</t>
  </si>
  <si>
    <t>* Includes Option to Purchase at $105,000 any time during Lease, 10% of rent paid towards Purchase Price**</t>
  </si>
  <si>
    <t>Rent*</t>
  </si>
  <si>
    <t>** Affordable Deed Restriction recorded on home to promote wealth creation across several generations</t>
  </si>
  <si>
    <t xml:space="preserve">      Buyer Monthly Payments &amp; Security Deposit</t>
  </si>
  <si>
    <t>Expected Repairs for Closing/year (after year 3)</t>
  </si>
  <si>
    <t>CDA Loan to Value</t>
  </si>
  <si>
    <t>Return of Capital</t>
  </si>
  <si>
    <t>Potential Return</t>
  </si>
  <si>
    <t>Vacancy Reserve</t>
  </si>
  <si>
    <t>Maintence Res (75%)</t>
  </si>
  <si>
    <t>Return</t>
  </si>
  <si>
    <t>+ Vacancy Reserve</t>
  </si>
  <si>
    <t>+ Maintenance Reserve</t>
  </si>
  <si>
    <t>+ Operating Reserve</t>
  </si>
  <si>
    <t>-   Return on Investment</t>
  </si>
  <si>
    <t>CDA Return</t>
  </si>
  <si>
    <t>Table 3.0 - Summary of Likely Sales Scenarios</t>
  </si>
  <si>
    <t>Rate of Return</t>
  </si>
  <si>
    <t>Repairs for Closing</t>
  </si>
  <si>
    <t>Repairs for Closing/Turnover Reset Cost</t>
  </si>
  <si>
    <t>CDA Initial investment/Reserves</t>
  </si>
  <si>
    <t>Maintence Res (50%)</t>
  </si>
  <si>
    <t>Maintence Res (0%)</t>
  </si>
  <si>
    <t>Table 5.0 - Assumptions</t>
  </si>
  <si>
    <t>Table 4.0 - Initial Capital Budget</t>
  </si>
  <si>
    <t>CDA Contribution to Purchase Price</t>
  </si>
  <si>
    <t>Year 15 Purchase (Orig. Resident)</t>
  </si>
  <si>
    <t>Year 15 Purchase (New Resident)</t>
  </si>
  <si>
    <t>Year 3 Purchase (Orig. Resident)</t>
  </si>
  <si>
    <t>Year 5 Purchase (Orig. Resident)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</si>
</sst>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&quot;$&quot;* #,##0.0_);_(&quot;$&quot;* \(#,##0.0\);_(&quot;$&quot;* &quot;-&quot;??_);_(@_)"/>
    <numFmt numFmtId="175" formatCode="0.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6" fillId="0" borderId="0" xfId="0" applyFont="1"/>
    <xf numFmtId="0" fontId="4" fillId="2" borderId="0" xfId="0" applyFont="1" applyFill="1"/>
    <xf numFmtId="0" fontId="0" fillId="2" borderId="0" xfId="0" applyFill="1"/>
    <xf numFmtId="44" fontId="0" fillId="0" borderId="0" xfId="2" applyFont="1"/>
    <xf numFmtId="44" fontId="0" fillId="0" borderId="0" xfId="0" applyNumberFormat="1"/>
    <xf numFmtId="9" fontId="0" fillId="0" borderId="0" xfId="0" applyNumberFormat="1"/>
    <xf numFmtId="8" fontId="0" fillId="0" borderId="0" xfId="0" applyNumberFormat="1"/>
    <xf numFmtId="0" fontId="7" fillId="0" borderId="0" xfId="0" applyFont="1" applyAlignment="1">
      <alignment horizontal="center"/>
    </xf>
    <xf numFmtId="0" fontId="8" fillId="0" borderId="0" xfId="0" applyFont="1"/>
    <xf numFmtId="6" fontId="0" fillId="0" borderId="0" xfId="0" applyNumberFormat="1"/>
    <xf numFmtId="6" fontId="0" fillId="0" borderId="1" xfId="0" applyNumberFormat="1" applyBorder="1"/>
    <xf numFmtId="44" fontId="0" fillId="0" borderId="0" xfId="2" applyFont="1" applyBorder="1"/>
    <xf numFmtId="10" fontId="0" fillId="0" borderId="0" xfId="0" applyNumberFormat="1"/>
    <xf numFmtId="165" fontId="0" fillId="0" borderId="0" xfId="2" applyNumberFormat="1" applyFont="1"/>
    <xf numFmtId="43" fontId="0" fillId="0" borderId="0" xfId="1" applyFont="1"/>
    <xf numFmtId="165" fontId="0" fillId="0" borderId="0" xfId="0" applyNumberFormat="1"/>
    <xf numFmtId="0" fontId="0" fillId="0" borderId="0" xfId="0" quotePrefix="1"/>
    <xf numFmtId="9" fontId="0" fillId="0" borderId="0" xfId="3" applyFont="1"/>
    <xf numFmtId="0" fontId="7" fillId="0" borderId="0" xfId="0" applyFont="1"/>
    <xf numFmtId="165" fontId="0" fillId="0" borderId="1" xfId="0" applyNumberFormat="1" applyBorder="1"/>
    <xf numFmtId="0" fontId="4" fillId="0" borderId="0" xfId="0" applyFont="1"/>
    <xf numFmtId="165" fontId="0" fillId="0" borderId="0" xfId="3" applyNumberFormat="1" applyFont="1"/>
    <xf numFmtId="164" fontId="0" fillId="0" borderId="0" xfId="1" applyNumberFormat="1" applyFont="1" applyBorder="1"/>
    <xf numFmtId="0" fontId="9" fillId="2" borderId="0" xfId="0" applyFont="1" applyFill="1"/>
    <xf numFmtId="0" fontId="5" fillId="2" borderId="0" xfId="0" applyFont="1" applyFill="1"/>
    <xf numFmtId="0" fontId="2" fillId="2" borderId="0" xfId="0" applyFont="1" applyFill="1"/>
    <xf numFmtId="166" fontId="0" fillId="0" borderId="0" xfId="0" applyNumberFormat="1"/>
    <xf numFmtId="165" fontId="0" fillId="0" borderId="0" xfId="0" applyNumberFormat="1" applyAlignment="1">
      <alignment horizontal="right"/>
    </xf>
    <xf numFmtId="0" fontId="0" fillId="0" borderId="0" xfId="0" applyFont="1"/>
    <xf numFmtId="2" fontId="0" fillId="0" borderId="0" xfId="0" applyNumberFormat="1"/>
    <xf numFmtId="175" fontId="0" fillId="0" borderId="0" xfId="3" applyNumberFormat="1" applyFont="1"/>
    <xf numFmtId="10" fontId="0" fillId="0" borderId="0" xfId="3" applyNumberFormat="1" applyFont="1"/>
    <xf numFmtId="44" fontId="0" fillId="0" borderId="0" xfId="0" applyNumberFormat="1" applyFill="1"/>
    <xf numFmtId="165" fontId="0" fillId="0" borderId="0" xfId="2" applyNumberFormat="1" applyFont="1" applyFill="1"/>
    <xf numFmtId="9" fontId="0" fillId="0" borderId="0" xfId="3" applyFont="1" applyFill="1"/>
    <xf numFmtId="0" fontId="7" fillId="0" borderId="0" xfId="0" applyFont="1" applyAlignment="1">
      <alignment wrapText="1"/>
    </xf>
    <xf numFmtId="166" fontId="0" fillId="0" borderId="0" xfId="2" applyNumberFormat="1" applyFont="1" applyBorder="1"/>
    <xf numFmtId="165" fontId="0" fillId="0" borderId="0" xfId="2" applyNumberFormat="1" applyFont="1" applyBorder="1"/>
    <xf numFmtId="166" fontId="7" fillId="0" borderId="0" xfId="0" applyNumberFormat="1" applyFont="1"/>
    <xf numFmtId="166" fontId="7" fillId="0" borderId="0" xfId="0" applyNumberFormat="1" applyFont="1" applyAlignment="1">
      <alignment horizontal="center"/>
    </xf>
    <xf numFmtId="6" fontId="7" fillId="0" borderId="0" xfId="0" applyNumberFormat="1" applyFont="1" applyAlignment="1">
      <alignment horizontal="center"/>
    </xf>
    <xf numFmtId="6" fontId="7" fillId="0" borderId="0" xfId="0" applyNumberFormat="1" applyFont="1"/>
    <xf numFmtId="6" fontId="0" fillId="0" borderId="1" xfId="0" applyNumberFormat="1" applyFont="1" applyBorder="1"/>
    <xf numFmtId="6" fontId="0" fillId="0" borderId="0" xfId="0" applyNumberFormat="1" applyFont="1"/>
    <xf numFmtId="6" fontId="3" fillId="0" borderId="0" xfId="0" applyNumberFormat="1" applyFont="1"/>
    <xf numFmtId="6" fontId="0" fillId="0" borderId="0" xfId="3" applyNumberFormat="1" applyFont="1"/>
    <xf numFmtId="165" fontId="0" fillId="0" borderId="0" xfId="0" applyNumberFormat="1" applyFont="1"/>
    <xf numFmtId="165" fontId="8" fillId="0" borderId="0" xfId="0" applyNumberFormat="1" applyFont="1"/>
    <xf numFmtId="165" fontId="0" fillId="0" borderId="1" xfId="2" applyNumberFormat="1" applyFont="1" applyBorder="1"/>
    <xf numFmtId="165" fontId="8" fillId="0" borderId="0" xfId="2" applyNumberFormat="1" applyFont="1"/>
    <xf numFmtId="165" fontId="7" fillId="0" borderId="0" xfId="2" applyNumberFormat="1" applyFont="1" applyAlignment="1">
      <alignment horizontal="center"/>
    </xf>
    <xf numFmtId="165" fontId="7" fillId="0" borderId="0" xfId="2" applyNumberFormat="1" applyFont="1"/>
    <xf numFmtId="165" fontId="3" fillId="0" borderId="0" xfId="2" applyNumberFormat="1" applyFont="1"/>
    <xf numFmtId="165" fontId="0" fillId="0" borderId="1" xfId="0" applyNumberFormat="1" applyFont="1" applyBorder="1"/>
    <xf numFmtId="165" fontId="3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E21D1-CD83-422A-BBA1-F8CD94FDD45F}">
  <dimension ref="A1:AE244"/>
  <sheetViews>
    <sheetView tabSelected="1" topLeftCell="J129" zoomScale="160" zoomScaleNormal="160" workbookViewId="0">
      <selection activeCell="N139" sqref="N139"/>
    </sheetView>
  </sheetViews>
  <sheetFormatPr defaultRowHeight="14.4" x14ac:dyDescent="0.3"/>
  <cols>
    <col min="1" max="1" width="42.5546875" customWidth="1"/>
    <col min="2" max="9" width="15.44140625" customWidth="1"/>
    <col min="10" max="10" width="19.6640625" customWidth="1"/>
    <col min="11" max="31" width="15.44140625" customWidth="1"/>
  </cols>
  <sheetData>
    <row r="1" spans="1:5" ht="21" x14ac:dyDescent="0.4">
      <c r="A1" s="1" t="s">
        <v>10</v>
      </c>
    </row>
    <row r="2" spans="1:5" ht="21" x14ac:dyDescent="0.4">
      <c r="A2" s="1"/>
    </row>
    <row r="3" spans="1:5" x14ac:dyDescent="0.3">
      <c r="A3" s="26" t="s">
        <v>70</v>
      </c>
      <c r="B3" s="2"/>
      <c r="C3" s="3"/>
      <c r="D3" s="3"/>
      <c r="E3" s="3"/>
    </row>
    <row r="4" spans="1:5" x14ac:dyDescent="0.3">
      <c r="A4" t="s">
        <v>71</v>
      </c>
      <c r="B4" s="14">
        <f>B71</f>
        <v>1195</v>
      </c>
    </row>
    <row r="5" spans="1:5" x14ac:dyDescent="0.3">
      <c r="A5" t="s">
        <v>72</v>
      </c>
      <c r="B5" s="16">
        <f>B71</f>
        <v>1195</v>
      </c>
    </row>
    <row r="6" spans="1:5" x14ac:dyDescent="0.3">
      <c r="A6" t="s">
        <v>73</v>
      </c>
      <c r="B6" s="28" t="s">
        <v>74</v>
      </c>
    </row>
    <row r="7" spans="1:5" ht="15" thickBot="1" x14ac:dyDescent="0.35">
      <c r="B7" s="20">
        <f>SUM(B4:B4)</f>
        <v>1195</v>
      </c>
    </row>
    <row r="8" spans="1:5" ht="15" thickTop="1" x14ac:dyDescent="0.3"/>
    <row r="9" spans="1:5" x14ac:dyDescent="0.3">
      <c r="A9" s="24" t="s">
        <v>75</v>
      </c>
      <c r="B9" s="25"/>
      <c r="C9" s="25"/>
      <c r="D9" s="25"/>
      <c r="E9" s="25"/>
    </row>
    <row r="10" spans="1:5" x14ac:dyDescent="0.3">
      <c r="B10" s="19" t="s">
        <v>76</v>
      </c>
      <c r="C10" s="19" t="s">
        <v>77</v>
      </c>
    </row>
    <row r="11" spans="1:5" x14ac:dyDescent="0.3">
      <c r="A11" t="s">
        <v>85</v>
      </c>
      <c r="B11" s="14">
        <f>B71</f>
        <v>1195</v>
      </c>
      <c r="C11" s="14"/>
    </row>
    <row r="12" spans="1:5" x14ac:dyDescent="0.3">
      <c r="A12" t="s">
        <v>54</v>
      </c>
      <c r="B12" s="14">
        <f>B69</f>
        <v>100</v>
      </c>
      <c r="C12" s="14"/>
    </row>
    <row r="13" spans="1:5" x14ac:dyDescent="0.3">
      <c r="A13" t="s">
        <v>55</v>
      </c>
      <c r="B13" s="14">
        <f>B70</f>
        <v>200</v>
      </c>
      <c r="C13" s="14"/>
    </row>
    <row r="14" spans="1:5" x14ac:dyDescent="0.3">
      <c r="A14" t="s">
        <v>56</v>
      </c>
      <c r="B14" s="14"/>
      <c r="C14" s="14">
        <f>B58</f>
        <v>100</v>
      </c>
    </row>
    <row r="15" spans="1:5" x14ac:dyDescent="0.3">
      <c r="A15" t="s">
        <v>48</v>
      </c>
      <c r="B15" s="14"/>
      <c r="C15" s="14">
        <f>B71*B59</f>
        <v>179.25</v>
      </c>
    </row>
    <row r="16" spans="1:5" x14ac:dyDescent="0.3">
      <c r="A16" t="s">
        <v>23</v>
      </c>
      <c r="B16" s="14"/>
      <c r="C16" s="14">
        <f>B60*B71</f>
        <v>35.85</v>
      </c>
    </row>
    <row r="17" spans="1:5" x14ac:dyDescent="0.3">
      <c r="A17" t="s">
        <v>14</v>
      </c>
      <c r="B17" s="14"/>
      <c r="C17" s="14">
        <f>B62*B63/12</f>
        <v>183.75</v>
      </c>
    </row>
    <row r="18" spans="1:5" x14ac:dyDescent="0.3">
      <c r="A18" t="s">
        <v>57</v>
      </c>
      <c r="B18" s="14"/>
      <c r="C18" s="14">
        <f>PMT(B65,B66,-B64)/12</f>
        <v>506.01336741953673</v>
      </c>
    </row>
    <row r="19" spans="1:5" ht="15" thickBot="1" x14ac:dyDescent="0.35">
      <c r="A19" t="s">
        <v>51</v>
      </c>
      <c r="B19" s="20">
        <f>SUM(B11:B18)</f>
        <v>1495</v>
      </c>
      <c r="C19" s="20">
        <f>SUM(C11:C18)</f>
        <v>1004.8633674195368</v>
      </c>
    </row>
    <row r="20" spans="1:5" ht="15" thickTop="1" x14ac:dyDescent="0.3">
      <c r="A20" t="s">
        <v>52</v>
      </c>
      <c r="B20" s="18">
        <f>B19/($B73+$B70+$B69)</f>
        <v>0.90606060606060601</v>
      </c>
    </row>
    <row r="21" spans="1:5" x14ac:dyDescent="0.3">
      <c r="B21" s="5"/>
      <c r="C21" s="5"/>
      <c r="D21" s="5"/>
      <c r="E21" s="5"/>
    </row>
    <row r="22" spans="1:5" x14ac:dyDescent="0.3">
      <c r="A22" t="s">
        <v>84</v>
      </c>
      <c r="B22" s="23"/>
      <c r="C22" s="23"/>
      <c r="D22" s="23"/>
      <c r="E22" s="23"/>
    </row>
    <row r="23" spans="1:5" x14ac:dyDescent="0.3">
      <c r="A23" t="s">
        <v>86</v>
      </c>
      <c r="B23" s="12"/>
      <c r="C23" s="7"/>
      <c r="D23" s="7"/>
      <c r="E23" s="7"/>
    </row>
    <row r="24" spans="1:5" x14ac:dyDescent="0.3">
      <c r="B24" s="12"/>
    </row>
    <row r="25" spans="1:5" x14ac:dyDescent="0.3">
      <c r="A25" s="24" t="s">
        <v>100</v>
      </c>
      <c r="B25" s="25"/>
      <c r="C25" s="25"/>
      <c r="D25" s="25"/>
      <c r="E25" s="25"/>
    </row>
    <row r="26" spans="1:5" ht="28.8" customHeight="1" x14ac:dyDescent="0.3">
      <c r="A26" s="21"/>
      <c r="B26" s="36" t="s">
        <v>112</v>
      </c>
      <c r="C26" s="36" t="s">
        <v>113</v>
      </c>
      <c r="D26" s="36" t="s">
        <v>110</v>
      </c>
      <c r="E26" s="36" t="s">
        <v>111</v>
      </c>
    </row>
    <row r="27" spans="1:5" x14ac:dyDescent="0.3">
      <c r="A27" t="s">
        <v>66</v>
      </c>
      <c r="B27" s="14">
        <f>B64</f>
        <v>105000</v>
      </c>
      <c r="C27" s="14">
        <f>B64</f>
        <v>105000</v>
      </c>
      <c r="D27" s="14">
        <f>B64</f>
        <v>105000</v>
      </c>
      <c r="E27" s="14">
        <f>B64</f>
        <v>105000</v>
      </c>
    </row>
    <row r="28" spans="1:5" x14ac:dyDescent="0.3">
      <c r="A28" t="s">
        <v>87</v>
      </c>
      <c r="B28" s="14">
        <f>-(SUM(B91:D91)*B72)-B71</f>
        <v>-5627.3506000000007</v>
      </c>
      <c r="C28" s="14">
        <f>-(SUM(B119:F119)*B72)-B71</f>
        <v>-8808.3007515400022</v>
      </c>
      <c r="D28" s="14">
        <f>-(SUM(B148:P148)*B72)-B71</f>
        <v>-27865.842513516553</v>
      </c>
      <c r="E28" s="33">
        <f>Q179-E27</f>
        <v>-2169.0536654422322</v>
      </c>
    </row>
    <row r="29" spans="1:5" x14ac:dyDescent="0.3">
      <c r="A29" t="s">
        <v>58</v>
      </c>
      <c r="B29" s="14">
        <f>-B80</f>
        <v>-10000</v>
      </c>
      <c r="C29" s="14">
        <f>-B80</f>
        <v>-10000</v>
      </c>
      <c r="D29" s="14">
        <f>-B80</f>
        <v>-10000</v>
      </c>
      <c r="E29" s="16">
        <f>-B80</f>
        <v>-10000</v>
      </c>
    </row>
    <row r="30" spans="1:5" x14ac:dyDescent="0.3">
      <c r="A30" t="s">
        <v>40</v>
      </c>
      <c r="B30" s="16">
        <f>SUM(B27:B29)</f>
        <v>89372.649399999995</v>
      </c>
      <c r="C30" s="16">
        <f>SUM(C27:C29)</f>
        <v>86191.699248460005</v>
      </c>
      <c r="D30" s="16">
        <f>SUM(D27:D29)</f>
        <v>67134.157486483455</v>
      </c>
      <c r="E30" s="5">
        <f>SUM(E27:E29)</f>
        <v>92830.946334557768</v>
      </c>
    </row>
    <row r="31" spans="1:5" x14ac:dyDescent="0.3">
      <c r="A31" t="s">
        <v>43</v>
      </c>
      <c r="B31" s="14">
        <f>PMT($B67,$B68,-B30)/12</f>
        <v>600.18503228378916</v>
      </c>
      <c r="C31" s="14">
        <f>PMT($B67,$B68,-C30)/12</f>
        <v>578.8232545787281</v>
      </c>
      <c r="D31" s="14">
        <f>PMT($B67,$B68,-D30)/12</f>
        <v>450.84169204868687</v>
      </c>
      <c r="E31" s="14">
        <f>PMT($B67,$B68,-E30)/12</f>
        <v>623.40934163624843</v>
      </c>
    </row>
    <row r="32" spans="1:5" x14ac:dyDescent="0.3">
      <c r="A32" t="s">
        <v>61</v>
      </c>
      <c r="B32" s="14">
        <f>$B64*$B62/12</f>
        <v>183.75</v>
      </c>
      <c r="C32" s="14">
        <f>$B64*$B62/12</f>
        <v>183.75</v>
      </c>
      <c r="D32" s="14">
        <f>$B64*$B62/12</f>
        <v>183.75</v>
      </c>
      <c r="E32" s="14">
        <f>$B64*$B62/12</f>
        <v>183.75</v>
      </c>
    </row>
    <row r="33" spans="1:5" x14ac:dyDescent="0.3">
      <c r="A33" t="s">
        <v>44</v>
      </c>
      <c r="B33" s="16">
        <f>$B58</f>
        <v>100</v>
      </c>
      <c r="C33" s="16">
        <f>$B58</f>
        <v>100</v>
      </c>
      <c r="D33" s="16">
        <f>$B58</f>
        <v>100</v>
      </c>
      <c r="E33" s="16">
        <f>$B58</f>
        <v>100</v>
      </c>
    </row>
    <row r="34" spans="1:5" x14ac:dyDescent="0.3">
      <c r="A34" t="s">
        <v>45</v>
      </c>
      <c r="B34" s="16">
        <f>$B69</f>
        <v>100</v>
      </c>
      <c r="C34" s="16">
        <f>$B69</f>
        <v>100</v>
      </c>
      <c r="D34" s="16">
        <f>$B69</f>
        <v>100</v>
      </c>
      <c r="E34" s="16">
        <f>$B69</f>
        <v>100</v>
      </c>
    </row>
    <row r="35" spans="1:5" x14ac:dyDescent="0.3">
      <c r="A35" t="s">
        <v>46</v>
      </c>
      <c r="B35" s="16">
        <f>$B70</f>
        <v>200</v>
      </c>
      <c r="C35" s="16">
        <f>$B70</f>
        <v>200</v>
      </c>
      <c r="D35" s="16">
        <f>$B70</f>
        <v>200</v>
      </c>
      <c r="E35" s="16">
        <f>$B70</f>
        <v>200</v>
      </c>
    </row>
    <row r="36" spans="1:5" ht="15" thickBot="1" x14ac:dyDescent="0.35">
      <c r="A36" t="s">
        <v>51</v>
      </c>
      <c r="B36" s="20">
        <f>SUM(B31:B35)</f>
        <v>1183.935032283789</v>
      </c>
      <c r="C36" s="20">
        <f>SUM(C31:C35)</f>
        <v>1162.5732545787282</v>
      </c>
      <c r="D36" s="20">
        <f>SUM(D31:D35)</f>
        <v>1034.5916920486868</v>
      </c>
      <c r="E36" s="20">
        <f>SUM(E31:E35)</f>
        <v>1207.1593416362484</v>
      </c>
    </row>
    <row r="37" spans="1:5" ht="15" thickTop="1" x14ac:dyDescent="0.3">
      <c r="A37" t="s">
        <v>52</v>
      </c>
      <c r="B37" s="18">
        <f>B36/($B73+$B70+$B69)</f>
        <v>0.7175363832022964</v>
      </c>
      <c r="C37" s="18">
        <f>C36/($B73+$B70+$B69)</f>
        <v>0.70458985125983531</v>
      </c>
      <c r="D37" s="18">
        <f>D36/($B73+$B70+$B69)</f>
        <v>0.62702526790829505</v>
      </c>
      <c r="E37" s="18">
        <f>E36/($B73+$B70+$B69)</f>
        <v>0.7316117222037869</v>
      </c>
    </row>
    <row r="38" spans="1:5" x14ac:dyDescent="0.3">
      <c r="A38" t="s">
        <v>60</v>
      </c>
      <c r="B38" s="22">
        <f>$B73-B31-B33-B32</f>
        <v>466.06496771621084</v>
      </c>
      <c r="C38" s="22">
        <f>$B73-C31-C33-C32</f>
        <v>487.4267454212719</v>
      </c>
      <c r="D38" s="22">
        <f>$B73-D31-D33-D32</f>
        <v>615.40830795131319</v>
      </c>
      <c r="E38" s="22">
        <f>$B73-E31-E33-E32</f>
        <v>442.84065836375157</v>
      </c>
    </row>
    <row r="39" spans="1:5" x14ac:dyDescent="0.3">
      <c r="B39" s="18"/>
      <c r="C39" s="18"/>
      <c r="D39" s="18"/>
    </row>
    <row r="40" spans="1:5" x14ac:dyDescent="0.3">
      <c r="A40" t="s">
        <v>67</v>
      </c>
      <c r="B40" s="14">
        <f>F112</f>
        <v>19344.724164590883</v>
      </c>
      <c r="C40" s="5">
        <f>H141</f>
        <v>18841.479355735908</v>
      </c>
      <c r="D40" s="5">
        <f>R170</f>
        <v>29716.27284500705</v>
      </c>
      <c r="E40" s="5">
        <f>R198</f>
        <v>72902.82838126694</v>
      </c>
    </row>
    <row r="41" spans="1:5" x14ac:dyDescent="0.3">
      <c r="A41" s="17" t="s">
        <v>95</v>
      </c>
      <c r="B41" s="14">
        <f>G112</f>
        <v>3102.6454200000007</v>
      </c>
      <c r="C41" s="7">
        <f>I141</f>
        <v>5329.3105260780012</v>
      </c>
      <c r="D41" s="14">
        <f>S170</f>
        <v>18669.589759461589</v>
      </c>
      <c r="E41" s="14">
        <f>S198</f>
        <v>18669.589759461589</v>
      </c>
    </row>
    <row r="42" spans="1:5" x14ac:dyDescent="0.3">
      <c r="A42" s="17" t="s">
        <v>97</v>
      </c>
      <c r="B42" s="14">
        <f>H112</f>
        <v>1329.7051799999999</v>
      </c>
      <c r="C42" s="7">
        <f>J141</f>
        <v>7645.1555664000007</v>
      </c>
      <c r="D42" s="14">
        <f>T170</f>
        <v>8001.2527540549636</v>
      </c>
      <c r="E42" s="14">
        <f>T198</f>
        <v>8001.2527540549636</v>
      </c>
    </row>
    <row r="43" spans="1:5" x14ac:dyDescent="0.3">
      <c r="A43" s="17" t="s">
        <v>96</v>
      </c>
      <c r="B43" s="14">
        <f>I112</f>
        <v>4986.3944250000004</v>
      </c>
      <c r="C43" s="5">
        <f>K141</f>
        <v>1141.9951127310001</v>
      </c>
      <c r="D43" s="5">
        <f>U170</f>
        <v>0</v>
      </c>
      <c r="E43" s="5">
        <f>U198</f>
        <v>0</v>
      </c>
    </row>
    <row r="44" spans="1:5" x14ac:dyDescent="0.3">
      <c r="A44" s="17" t="s">
        <v>98</v>
      </c>
      <c r="B44" s="14">
        <f>J112</f>
        <v>-21999.999999999996</v>
      </c>
      <c r="C44" s="5">
        <f>L141</f>
        <v>-21999.999999999996</v>
      </c>
      <c r="D44" s="5">
        <f>V170</f>
        <v>-21999.999999999996</v>
      </c>
      <c r="E44" s="5">
        <f>V198</f>
        <v>-36000</v>
      </c>
    </row>
    <row r="45" spans="1:5" ht="15" thickBot="1" x14ac:dyDescent="0.35">
      <c r="A45" t="s">
        <v>99</v>
      </c>
      <c r="B45" s="20">
        <f>K112</f>
        <v>6763.4691895908873</v>
      </c>
      <c r="C45" s="20">
        <f>M141</f>
        <v>10957.940560944913</v>
      </c>
      <c r="D45" s="20">
        <f>W170</f>
        <v>34387.115358523602</v>
      </c>
      <c r="E45" s="20">
        <f>W198</f>
        <v>63573.670894783485</v>
      </c>
    </row>
    <row r="46" spans="1:5" ht="15" thickTop="1" x14ac:dyDescent="0.3">
      <c r="A46" t="s">
        <v>101</v>
      </c>
      <c r="B46" s="13">
        <f>L112</f>
        <v>9.3468294180443515E-2</v>
      </c>
      <c r="C46" s="13">
        <f>N141</f>
        <v>8.4195192132447305E-2</v>
      </c>
      <c r="D46" s="13">
        <f>X170</f>
        <v>6.4756940818314179E-2</v>
      </c>
      <c r="E46" s="13">
        <f>X198</f>
        <v>7.0178285100058052E-2</v>
      </c>
    </row>
    <row r="47" spans="1:5" x14ac:dyDescent="0.3">
      <c r="B47" s="12"/>
    </row>
    <row r="48" spans="1:5" x14ac:dyDescent="0.3">
      <c r="A48" s="24" t="s">
        <v>108</v>
      </c>
      <c r="B48" s="25"/>
      <c r="C48" s="25"/>
      <c r="D48" s="25"/>
      <c r="E48" s="25"/>
    </row>
    <row r="49" spans="1:5" x14ac:dyDescent="0.3">
      <c r="B49" s="12"/>
    </row>
    <row r="50" spans="1:5" x14ac:dyDescent="0.3">
      <c r="A50" s="19" t="s">
        <v>0</v>
      </c>
      <c r="B50" s="12"/>
    </row>
    <row r="51" spans="1:5" x14ac:dyDescent="0.3">
      <c r="A51" t="s">
        <v>9</v>
      </c>
      <c r="B51" s="38">
        <f>B63*B84</f>
        <v>84000</v>
      </c>
    </row>
    <row r="52" spans="1:5" x14ac:dyDescent="0.3">
      <c r="A52" t="s">
        <v>109</v>
      </c>
      <c r="B52" s="38">
        <f>B55-B51</f>
        <v>21000</v>
      </c>
    </row>
    <row r="53" spans="1:5" x14ac:dyDescent="0.3">
      <c r="B53" s="16"/>
    </row>
    <row r="54" spans="1:5" x14ac:dyDescent="0.3">
      <c r="A54" s="19" t="s">
        <v>1</v>
      </c>
      <c r="B54" s="38"/>
    </row>
    <row r="55" spans="1:5" x14ac:dyDescent="0.3">
      <c r="A55" t="s">
        <v>11</v>
      </c>
      <c r="B55" s="38">
        <f>B64</f>
        <v>105000</v>
      </c>
    </row>
    <row r="56" spans="1:5" x14ac:dyDescent="0.3">
      <c r="B56" s="12"/>
    </row>
    <row r="57" spans="1:5" x14ac:dyDescent="0.3">
      <c r="A57" s="24" t="s">
        <v>107</v>
      </c>
      <c r="B57" s="25"/>
      <c r="C57" s="25"/>
      <c r="D57" s="25"/>
      <c r="E57" s="25"/>
    </row>
    <row r="58" spans="1:5" x14ac:dyDescent="0.3">
      <c r="A58" t="s">
        <v>21</v>
      </c>
      <c r="B58" s="14">
        <f>100</f>
        <v>100</v>
      </c>
    </row>
    <row r="59" spans="1:5" x14ac:dyDescent="0.3">
      <c r="A59" t="s">
        <v>22</v>
      </c>
      <c r="B59" s="6">
        <v>0.15</v>
      </c>
    </row>
    <row r="60" spans="1:5" x14ac:dyDescent="0.3">
      <c r="A60" t="s">
        <v>23</v>
      </c>
      <c r="B60" s="6">
        <v>0.03</v>
      </c>
    </row>
    <row r="61" spans="1:5" x14ac:dyDescent="0.3">
      <c r="A61" t="s">
        <v>30</v>
      </c>
      <c r="B61" s="14">
        <v>120</v>
      </c>
    </row>
    <row r="62" spans="1:5" x14ac:dyDescent="0.3">
      <c r="A62" t="s">
        <v>24</v>
      </c>
      <c r="B62" s="13">
        <v>2.1000000000000001E-2</v>
      </c>
    </row>
    <row r="63" spans="1:5" x14ac:dyDescent="0.3">
      <c r="A63" t="s">
        <v>41</v>
      </c>
      <c r="B63" s="14">
        <v>105000</v>
      </c>
    </row>
    <row r="64" spans="1:5" x14ac:dyDescent="0.3">
      <c r="A64" t="s">
        <v>42</v>
      </c>
      <c r="B64" s="14">
        <v>105000</v>
      </c>
    </row>
    <row r="65" spans="1:2" x14ac:dyDescent="0.3">
      <c r="A65" t="s">
        <v>25</v>
      </c>
      <c r="B65" s="6">
        <v>0.04</v>
      </c>
    </row>
    <row r="66" spans="1:2" x14ac:dyDescent="0.3">
      <c r="A66" t="s">
        <v>38</v>
      </c>
      <c r="B66" s="15">
        <v>30</v>
      </c>
    </row>
    <row r="67" spans="1:2" x14ac:dyDescent="0.3">
      <c r="A67" t="s">
        <v>26</v>
      </c>
      <c r="B67" s="6">
        <v>7.0000000000000007E-2</v>
      </c>
    </row>
    <row r="68" spans="1:2" x14ac:dyDescent="0.3">
      <c r="A68" t="s">
        <v>39</v>
      </c>
      <c r="B68" s="15">
        <v>30</v>
      </c>
    </row>
    <row r="69" spans="1:2" x14ac:dyDescent="0.3">
      <c r="A69" t="s">
        <v>27</v>
      </c>
      <c r="B69" s="14">
        <v>100</v>
      </c>
    </row>
    <row r="70" spans="1:2" x14ac:dyDescent="0.3">
      <c r="A70" t="s">
        <v>28</v>
      </c>
      <c r="B70" s="14">
        <v>200</v>
      </c>
    </row>
    <row r="71" spans="1:2" x14ac:dyDescent="0.3">
      <c r="A71" t="s">
        <v>29</v>
      </c>
      <c r="B71" s="14">
        <v>1195</v>
      </c>
    </row>
    <row r="72" spans="1:2" x14ac:dyDescent="0.3">
      <c r="A72" t="s">
        <v>65</v>
      </c>
      <c r="B72" s="18">
        <v>0.1</v>
      </c>
    </row>
    <row r="73" spans="1:2" x14ac:dyDescent="0.3">
      <c r="A73" t="s">
        <v>53</v>
      </c>
      <c r="B73" s="14">
        <v>1350</v>
      </c>
    </row>
    <row r="74" spans="1:2" x14ac:dyDescent="0.3">
      <c r="A74" t="s">
        <v>31</v>
      </c>
      <c r="B74" s="6">
        <v>7.0000000000000007E-2</v>
      </c>
    </row>
    <row r="75" spans="1:2" x14ac:dyDescent="0.3">
      <c r="A75" t="s">
        <v>32</v>
      </c>
      <c r="B75" s="14">
        <v>500</v>
      </c>
    </row>
    <row r="76" spans="1:2" x14ac:dyDescent="0.3">
      <c r="A76" t="s">
        <v>33</v>
      </c>
      <c r="B76" s="14">
        <v>885</v>
      </c>
    </row>
    <row r="77" spans="1:2" x14ac:dyDescent="0.3">
      <c r="A77" t="s">
        <v>37</v>
      </c>
      <c r="B77" s="14">
        <v>400</v>
      </c>
    </row>
    <row r="78" spans="1:2" x14ac:dyDescent="0.3">
      <c r="A78" t="s">
        <v>34</v>
      </c>
      <c r="B78" s="14">
        <v>3000</v>
      </c>
    </row>
    <row r="79" spans="1:2" x14ac:dyDescent="0.3">
      <c r="A79" t="s">
        <v>35</v>
      </c>
      <c r="B79" s="14">
        <v>100</v>
      </c>
    </row>
    <row r="80" spans="1:2" x14ac:dyDescent="0.3">
      <c r="A80" t="s">
        <v>59</v>
      </c>
      <c r="B80" s="14">
        <v>10000</v>
      </c>
    </row>
    <row r="81" spans="1:12" x14ac:dyDescent="0.3">
      <c r="A81" t="s">
        <v>62</v>
      </c>
      <c r="B81" s="6">
        <v>0.03</v>
      </c>
    </row>
    <row r="82" spans="1:12" x14ac:dyDescent="0.3">
      <c r="A82" t="s">
        <v>69</v>
      </c>
      <c r="B82" s="14">
        <v>1000</v>
      </c>
    </row>
    <row r="83" spans="1:12" x14ac:dyDescent="0.3">
      <c r="A83" t="s">
        <v>88</v>
      </c>
      <c r="B83" s="34">
        <v>1500</v>
      </c>
    </row>
    <row r="84" spans="1:12" x14ac:dyDescent="0.3">
      <c r="A84" t="s">
        <v>89</v>
      </c>
      <c r="B84" s="35">
        <v>0.8</v>
      </c>
    </row>
    <row r="85" spans="1:12" x14ac:dyDescent="0.3">
      <c r="B85" s="34"/>
    </row>
    <row r="87" spans="1:12" x14ac:dyDescent="0.3">
      <c r="A87" s="24" t="s">
        <v>78</v>
      </c>
      <c r="B87" s="2"/>
      <c r="C87" s="3"/>
      <c r="D87" s="3"/>
      <c r="E87" s="3"/>
      <c r="F87" s="3"/>
      <c r="G87" s="3"/>
    </row>
    <row r="88" spans="1:12" x14ac:dyDescent="0.3">
      <c r="B88" s="8">
        <v>2026</v>
      </c>
      <c r="C88" s="8">
        <f>B88+1</f>
        <v>2027</v>
      </c>
      <c r="D88" s="8">
        <f t="shared" ref="D88" si="0">C88+1</f>
        <v>2028</v>
      </c>
      <c r="E88" s="8">
        <f t="shared" ref="E88" si="1">D88+1</f>
        <v>2029</v>
      </c>
      <c r="F88" s="8"/>
      <c r="G88" s="8"/>
    </row>
    <row r="89" spans="1:12" x14ac:dyDescent="0.3">
      <c r="A89" s="9" t="s">
        <v>2</v>
      </c>
    </row>
    <row r="90" spans="1:12" x14ac:dyDescent="0.3">
      <c r="A90" s="29" t="s">
        <v>82</v>
      </c>
      <c r="B90" s="14">
        <v>1000</v>
      </c>
      <c r="C90" s="27"/>
      <c r="D90" s="27"/>
      <c r="E90" s="27"/>
      <c r="F90" s="27"/>
      <c r="G90" s="27"/>
      <c r="H90" s="27"/>
      <c r="I90" s="27"/>
      <c r="J90" s="27"/>
      <c r="K90" s="27"/>
      <c r="L90" s="27"/>
    </row>
    <row r="91" spans="1:12" x14ac:dyDescent="0.3">
      <c r="A91" t="s">
        <v>12</v>
      </c>
      <c r="B91" s="16">
        <f>B71*12</f>
        <v>14340</v>
      </c>
      <c r="C91" s="16">
        <f>B91*(1+$B$81)</f>
        <v>14770.2</v>
      </c>
      <c r="D91" s="16">
        <f>C91*(1+$B$81)</f>
        <v>15213.306</v>
      </c>
      <c r="E91" s="16"/>
      <c r="F91" s="27"/>
      <c r="G91" s="27"/>
      <c r="H91" s="27"/>
      <c r="I91" s="27"/>
      <c r="J91" s="27"/>
      <c r="K91" s="27"/>
      <c r="L91" s="27"/>
    </row>
    <row r="92" spans="1:12" x14ac:dyDescent="0.3">
      <c r="A92" t="s">
        <v>18</v>
      </c>
      <c r="B92" s="16">
        <f>B91*-($B$74)</f>
        <v>-1003.8000000000001</v>
      </c>
      <c r="C92" s="16">
        <f>C91*-($B$74)</f>
        <v>-1033.9140000000002</v>
      </c>
      <c r="D92" s="16">
        <f>D91*-($B$74)</f>
        <v>-1064.9314200000001</v>
      </c>
      <c r="E92" s="16"/>
      <c r="F92" s="27"/>
      <c r="G92" s="27"/>
      <c r="H92" s="27"/>
      <c r="I92" s="27"/>
      <c r="J92" s="27"/>
      <c r="K92" s="27"/>
      <c r="L92" s="27"/>
    </row>
    <row r="93" spans="1:12" x14ac:dyDescent="0.3">
      <c r="A93" t="s">
        <v>17</v>
      </c>
      <c r="B93" s="16"/>
      <c r="C93" s="16"/>
      <c r="D93" s="16"/>
      <c r="E93" s="16">
        <f>B64-(SUM(B91:D91)*B72)</f>
        <v>100567.64939999999</v>
      </c>
      <c r="F93" s="27"/>
      <c r="G93" s="27"/>
      <c r="H93" s="27"/>
      <c r="I93" s="27"/>
      <c r="J93" s="27"/>
      <c r="K93" s="27"/>
      <c r="L93" s="27"/>
    </row>
    <row r="94" spans="1:12" ht="15" thickBot="1" x14ac:dyDescent="0.35">
      <c r="A94" t="s">
        <v>3</v>
      </c>
      <c r="B94" s="20">
        <f>SUM(B90:B93)</f>
        <v>14336.2</v>
      </c>
      <c r="C94" s="20">
        <f>SUM(C90:C93)</f>
        <v>13736.286</v>
      </c>
      <c r="D94" s="20">
        <f>SUM(D90:D93)</f>
        <v>14148.37458</v>
      </c>
      <c r="E94" s="20">
        <f>SUM(E90:E93)</f>
        <v>100567.64939999999</v>
      </c>
      <c r="F94" s="27"/>
      <c r="G94" s="27"/>
      <c r="H94" s="27"/>
      <c r="I94" s="27"/>
      <c r="J94" s="27"/>
      <c r="K94" s="27"/>
      <c r="L94" s="27"/>
    </row>
    <row r="95" spans="1:12" ht="15" thickTop="1" x14ac:dyDescent="0.3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</row>
    <row r="96" spans="1:12" x14ac:dyDescent="0.3">
      <c r="A96" s="9" t="s">
        <v>4</v>
      </c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</row>
    <row r="97" spans="1:31" x14ac:dyDescent="0.3">
      <c r="A97" t="s">
        <v>19</v>
      </c>
      <c r="B97" s="16">
        <f>B75</f>
        <v>500</v>
      </c>
      <c r="C97" s="16"/>
      <c r="D97" s="16"/>
      <c r="E97" s="16"/>
      <c r="F97" s="27"/>
      <c r="G97" s="27"/>
      <c r="H97" s="27"/>
      <c r="I97" s="27"/>
      <c r="J97" s="27"/>
      <c r="K97" s="27"/>
      <c r="L97" s="27"/>
    </row>
    <row r="98" spans="1:31" x14ac:dyDescent="0.3">
      <c r="A98" t="s">
        <v>36</v>
      </c>
      <c r="B98" s="16">
        <f>B76</f>
        <v>885</v>
      </c>
      <c r="C98" s="14">
        <f>B77*(1+$B$81)</f>
        <v>412</v>
      </c>
      <c r="D98" s="14">
        <f>C98*(1+$B$81)</f>
        <v>424.36</v>
      </c>
      <c r="E98" s="16"/>
      <c r="F98" s="27"/>
      <c r="G98" s="27"/>
      <c r="H98" s="27"/>
      <c r="I98" s="27"/>
      <c r="J98" s="27"/>
      <c r="K98" s="27"/>
      <c r="L98" s="27"/>
    </row>
    <row r="99" spans="1:31" x14ac:dyDescent="0.3">
      <c r="A99" t="s">
        <v>16</v>
      </c>
      <c r="B99" s="16"/>
      <c r="C99" s="16"/>
      <c r="D99" s="16"/>
      <c r="E99" s="16">
        <f>B78*(1+$B$81)^3</f>
        <v>3278.181</v>
      </c>
      <c r="F99" s="27"/>
      <c r="G99" s="27"/>
      <c r="H99" s="27"/>
      <c r="I99" s="27"/>
      <c r="J99" s="27"/>
      <c r="K99" s="27"/>
      <c r="L99" s="27"/>
    </row>
    <row r="100" spans="1:31" x14ac:dyDescent="0.3">
      <c r="A100" t="s">
        <v>5</v>
      </c>
      <c r="B100" s="14"/>
      <c r="C100" s="14"/>
      <c r="D100" s="14"/>
      <c r="E100" s="14"/>
      <c r="F100" s="37"/>
      <c r="G100" s="37"/>
      <c r="H100" s="27"/>
      <c r="I100" s="27"/>
      <c r="J100" s="27"/>
      <c r="K100" s="27"/>
      <c r="L100" s="27"/>
    </row>
    <row r="101" spans="1:31" x14ac:dyDescent="0.3">
      <c r="A101" t="s">
        <v>6</v>
      </c>
      <c r="B101" s="14"/>
      <c r="C101" s="14"/>
      <c r="D101" s="14"/>
      <c r="E101" s="14"/>
      <c r="F101" s="37"/>
      <c r="G101" s="37"/>
      <c r="H101" s="27"/>
      <c r="I101" s="27"/>
      <c r="J101" s="27"/>
      <c r="K101" s="27"/>
      <c r="L101" s="27"/>
    </row>
    <row r="102" spans="1:31" x14ac:dyDescent="0.3">
      <c r="A102" t="s">
        <v>13</v>
      </c>
      <c r="B102" s="14">
        <f>B58*12</f>
        <v>1200</v>
      </c>
      <c r="C102" s="14">
        <f>B102*(1+$B$81)</f>
        <v>1236</v>
      </c>
      <c r="D102" s="14">
        <f>C102*(1+$B$81)</f>
        <v>1273.08</v>
      </c>
      <c r="E102" s="14"/>
      <c r="F102" s="37"/>
      <c r="G102" s="37"/>
      <c r="H102" s="27"/>
      <c r="I102" s="27"/>
      <c r="J102" s="27"/>
      <c r="K102" s="27"/>
      <c r="L102" s="27"/>
    </row>
    <row r="103" spans="1:31" x14ac:dyDescent="0.3">
      <c r="A103" t="s">
        <v>14</v>
      </c>
      <c r="B103" s="14">
        <f>B63*B62</f>
        <v>2205</v>
      </c>
      <c r="C103" s="14">
        <f>B103*(1+$B$81)</f>
        <v>2271.15</v>
      </c>
      <c r="D103" s="14">
        <f>C103*(1+$B$81)</f>
        <v>2339.2845000000002</v>
      </c>
      <c r="E103" s="14"/>
      <c r="F103" s="37"/>
      <c r="G103" s="37"/>
      <c r="H103" s="27"/>
      <c r="I103" s="27"/>
      <c r="J103" s="27"/>
      <c r="K103" s="27"/>
      <c r="L103" s="27"/>
    </row>
    <row r="104" spans="1:31" x14ac:dyDescent="0.3">
      <c r="A104" t="s">
        <v>63</v>
      </c>
      <c r="B104" s="14">
        <f>B91*$B59</f>
        <v>2151</v>
      </c>
      <c r="C104" s="14">
        <f>C91*$B59</f>
        <v>2215.5300000000002</v>
      </c>
      <c r="D104" s="14">
        <f>D91*$B59</f>
        <v>2281.9958999999999</v>
      </c>
      <c r="E104" s="14"/>
      <c r="F104" s="37"/>
      <c r="G104" s="37"/>
      <c r="H104" s="27"/>
      <c r="I104" s="27"/>
      <c r="J104" s="27"/>
      <c r="K104" s="27"/>
      <c r="L104" s="27"/>
    </row>
    <row r="105" spans="1:31" x14ac:dyDescent="0.3">
      <c r="A105" t="s">
        <v>23</v>
      </c>
      <c r="B105" s="14">
        <f>B91*$B60</f>
        <v>430.2</v>
      </c>
      <c r="C105" s="14">
        <f>C91*$B60</f>
        <v>443.10599999999999</v>
      </c>
      <c r="D105" s="14">
        <f>D91*$B60</f>
        <v>456.39918</v>
      </c>
      <c r="E105" s="14"/>
      <c r="F105" s="37"/>
      <c r="G105" s="37"/>
      <c r="H105" s="27"/>
      <c r="I105" s="27"/>
      <c r="J105" s="27"/>
      <c r="K105" s="27"/>
      <c r="L105" s="27"/>
    </row>
    <row r="106" spans="1:31" x14ac:dyDescent="0.3">
      <c r="A106" t="s">
        <v>64</v>
      </c>
      <c r="B106" s="14">
        <f>B61*12</f>
        <v>1440</v>
      </c>
      <c r="C106" s="14">
        <f>B106*(1+$B$81)</f>
        <v>1483.2</v>
      </c>
      <c r="D106" s="14">
        <f>C106*(1+$B$81)</f>
        <v>1527.6960000000001</v>
      </c>
      <c r="E106" s="14"/>
      <c r="F106" s="37"/>
      <c r="G106" s="37"/>
      <c r="H106" s="27"/>
      <c r="I106" s="27"/>
      <c r="J106" s="27"/>
      <c r="K106" s="27"/>
      <c r="L106" s="27"/>
    </row>
    <row r="107" spans="1:31" x14ac:dyDescent="0.3">
      <c r="A107" t="s">
        <v>68</v>
      </c>
      <c r="B107" s="16"/>
      <c r="C107" s="16"/>
      <c r="D107" s="16"/>
      <c r="E107" s="14">
        <f>$B$82*(1+$B$81)^3</f>
        <v>1092.7270000000001</v>
      </c>
      <c r="F107" s="27"/>
      <c r="G107" s="27"/>
      <c r="H107" s="37"/>
      <c r="I107" s="37"/>
      <c r="J107" s="37"/>
      <c r="K107" s="37"/>
      <c r="L107" s="37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</row>
    <row r="108" spans="1:31" ht="15" thickBot="1" x14ac:dyDescent="0.35">
      <c r="A108" t="s">
        <v>7</v>
      </c>
      <c r="B108" s="20">
        <f t="shared" ref="B108:D108" si="2">SUM(B97:B107)</f>
        <v>8811.2000000000007</v>
      </c>
      <c r="C108" s="20">
        <f t="shared" si="2"/>
        <v>8060.9859999999999</v>
      </c>
      <c r="D108" s="20">
        <f t="shared" si="2"/>
        <v>8302.8155800000004</v>
      </c>
      <c r="E108" s="20">
        <f>SUM(E97:E107)</f>
        <v>4370.9080000000004</v>
      </c>
      <c r="F108" s="27"/>
      <c r="G108" s="27"/>
      <c r="H108" s="27"/>
      <c r="I108" s="27"/>
      <c r="J108" s="27"/>
      <c r="K108" s="27"/>
      <c r="L108" s="27"/>
    </row>
    <row r="109" spans="1:31" ht="15" thickTop="1" x14ac:dyDescent="0.3"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</row>
    <row r="110" spans="1:31" x14ac:dyDescent="0.3">
      <c r="A110" t="s">
        <v>15</v>
      </c>
      <c r="B110" s="16">
        <f>PMT(B65,B66,-B63*B84)</f>
        <v>4857.7283272275527</v>
      </c>
      <c r="C110" s="16">
        <f>B110</f>
        <v>4857.7283272275527</v>
      </c>
      <c r="D110" s="16">
        <f>C110</f>
        <v>4857.7283272275527</v>
      </c>
      <c r="E110" s="16">
        <f>FV(B65,3,D110,-B63*B84)</f>
        <v>79324.691253726458</v>
      </c>
      <c r="F110" s="27"/>
      <c r="G110" s="39"/>
      <c r="H110" s="27"/>
      <c r="I110" s="27"/>
      <c r="J110" s="27"/>
      <c r="K110" s="27"/>
      <c r="L110" s="27"/>
    </row>
    <row r="111" spans="1:31" x14ac:dyDescent="0.3">
      <c r="B111" s="27"/>
      <c r="C111" s="27"/>
      <c r="D111" s="27"/>
      <c r="E111" s="27"/>
      <c r="F111" s="40" t="s">
        <v>67</v>
      </c>
      <c r="G111" s="40" t="s">
        <v>92</v>
      </c>
      <c r="H111" s="39" t="s">
        <v>23</v>
      </c>
      <c r="I111" s="40" t="s">
        <v>93</v>
      </c>
      <c r="J111" s="39" t="s">
        <v>90</v>
      </c>
      <c r="K111" s="39" t="s">
        <v>91</v>
      </c>
      <c r="L111" s="39" t="s">
        <v>94</v>
      </c>
    </row>
    <row r="112" spans="1:31" ht="15" thickBot="1" x14ac:dyDescent="0.35">
      <c r="A112" t="s">
        <v>8</v>
      </c>
      <c r="B112" s="54">
        <f>B94-B108-B110</f>
        <v>667.27167277244735</v>
      </c>
      <c r="C112" s="54">
        <f>C94-C108-C110</f>
        <v>817.57167277244753</v>
      </c>
      <c r="D112" s="54">
        <f>D94-D108-D110</f>
        <v>987.83067277244663</v>
      </c>
      <c r="E112" s="54">
        <f>E94-E108-E110</f>
        <v>16872.050146273541</v>
      </c>
      <c r="F112" s="47">
        <f>SUM(B112:E112)</f>
        <v>19344.724164590883</v>
      </c>
      <c r="G112" s="16">
        <f>-SUM(B92:D92)</f>
        <v>3102.6454200000007</v>
      </c>
      <c r="H112" s="16">
        <f>SUM(B105:D105)</f>
        <v>1329.7051799999999</v>
      </c>
      <c r="I112" s="16">
        <f>SUM(B104:D104)*0.75</f>
        <v>4986.3944250000004</v>
      </c>
      <c r="J112" s="55">
        <f>(-B63*(1-B84))-B90</f>
        <v>-21999.999999999996</v>
      </c>
      <c r="K112" s="16">
        <f>SUM(F112:J112)</f>
        <v>6763.4691895908873</v>
      </c>
      <c r="L112" s="31">
        <f>RATE(3,0,J112,(-J112+K112))</f>
        <v>9.3468294180443515E-2</v>
      </c>
    </row>
    <row r="113" spans="1:31" ht="15" thickTop="1" x14ac:dyDescent="0.3">
      <c r="A113" t="s">
        <v>83</v>
      </c>
      <c r="B113" s="30">
        <f>(B94-B108)/B110</f>
        <v>1.1373629045972768</v>
      </c>
      <c r="C113" s="30">
        <f t="shared" ref="C113:D113" si="3">(C94-C108)/C110</f>
        <v>1.1683032927531087</v>
      </c>
      <c r="D113" s="30">
        <f t="shared" si="3"/>
        <v>1.2033523915357016</v>
      </c>
    </row>
    <row r="115" spans="1:31" x14ac:dyDescent="0.3">
      <c r="A115" s="26" t="s">
        <v>79</v>
      </c>
      <c r="B115" s="2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</row>
    <row r="116" spans="1:31" x14ac:dyDescent="0.3">
      <c r="B116" s="8">
        <v>2026</v>
      </c>
      <c r="C116" s="8">
        <f>B116+1</f>
        <v>2027</v>
      </c>
      <c r="D116" s="8">
        <f t="shared" ref="D116:G116" si="4">C116+1</f>
        <v>2028</v>
      </c>
      <c r="E116" s="8">
        <f t="shared" si="4"/>
        <v>2029</v>
      </c>
      <c r="F116" s="8">
        <f t="shared" si="4"/>
        <v>2030</v>
      </c>
      <c r="G116" s="8">
        <f t="shared" si="4"/>
        <v>2031</v>
      </c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</row>
    <row r="117" spans="1:31" x14ac:dyDescent="0.3">
      <c r="A117" s="9" t="s">
        <v>2</v>
      </c>
    </row>
    <row r="118" spans="1:31" x14ac:dyDescent="0.3">
      <c r="A118" s="29" t="s">
        <v>82</v>
      </c>
      <c r="B118" s="14">
        <v>1000</v>
      </c>
      <c r="C118" s="16"/>
      <c r="D118" s="16"/>
      <c r="E118" s="16"/>
      <c r="F118" s="16"/>
      <c r="G118" s="16"/>
    </row>
    <row r="119" spans="1:31" x14ac:dyDescent="0.3">
      <c r="A119" t="s">
        <v>12</v>
      </c>
      <c r="B119" s="16">
        <f>B71*12</f>
        <v>14340</v>
      </c>
      <c r="C119" s="16">
        <f>B119*(1+$B$81)</f>
        <v>14770.2</v>
      </c>
      <c r="D119" s="16">
        <f>C119*(1+$B$81)</f>
        <v>15213.306</v>
      </c>
      <c r="E119" s="16">
        <f>D119*(1+$B$81)</f>
        <v>15669.705180000001</v>
      </c>
      <c r="F119" s="16">
        <f>E119*(1+$B$81)</f>
        <v>16139.796335400002</v>
      </c>
      <c r="G119" s="16"/>
      <c r="H119" s="5"/>
      <c r="I119" s="5"/>
      <c r="J119" s="5"/>
      <c r="K119" s="5"/>
      <c r="L119" s="5"/>
      <c r="M119" s="5"/>
      <c r="N119" s="5"/>
      <c r="O119" s="5"/>
      <c r="P119" s="5"/>
      <c r="Q119" s="5"/>
    </row>
    <row r="120" spans="1:31" x14ac:dyDescent="0.3">
      <c r="A120" t="s">
        <v>18</v>
      </c>
      <c r="B120" s="16">
        <f>B119*-($B$74)</f>
        <v>-1003.8000000000001</v>
      </c>
      <c r="C120" s="16">
        <f>C119*-($B$74)</f>
        <v>-1033.9140000000002</v>
      </c>
      <c r="D120" s="16">
        <f>D119*-($B$74)</f>
        <v>-1064.9314200000001</v>
      </c>
      <c r="E120" s="16">
        <f>E119*-($B$74)</f>
        <v>-1096.8793626000001</v>
      </c>
      <c r="F120" s="16">
        <f>F119*-($B$74)</f>
        <v>-1129.7857434780003</v>
      </c>
      <c r="G120" s="16"/>
      <c r="H120" s="5"/>
      <c r="I120" s="5"/>
      <c r="J120" s="5"/>
      <c r="K120" s="5"/>
      <c r="L120" s="5"/>
      <c r="M120" s="5"/>
      <c r="N120" s="5"/>
      <c r="O120" s="5"/>
      <c r="P120" s="5"/>
      <c r="Q120" s="5"/>
    </row>
    <row r="121" spans="1:31" x14ac:dyDescent="0.3">
      <c r="A121" t="s">
        <v>17</v>
      </c>
      <c r="B121" s="16"/>
      <c r="C121" s="16"/>
      <c r="D121" s="16"/>
      <c r="E121" s="16"/>
      <c r="F121" s="16"/>
      <c r="G121" s="16">
        <f>B64-(SUM(B119:F119)*B72)</f>
        <v>97386.699248460005</v>
      </c>
      <c r="H121" s="5"/>
      <c r="I121" s="5"/>
      <c r="J121" s="5"/>
      <c r="K121" s="5"/>
      <c r="L121" s="5"/>
      <c r="M121" s="5"/>
      <c r="N121" s="5"/>
      <c r="O121" s="5"/>
      <c r="P121" s="5"/>
      <c r="Q121" s="5"/>
    </row>
    <row r="122" spans="1:31" ht="15" thickBot="1" x14ac:dyDescent="0.35">
      <c r="A122" t="s">
        <v>3</v>
      </c>
      <c r="B122" s="20">
        <f>SUM(B118:B121)</f>
        <v>14336.2</v>
      </c>
      <c r="C122" s="20">
        <f t="shared" ref="C122:G122" si="5">SUM(C118:C121)</f>
        <v>13736.286</v>
      </c>
      <c r="D122" s="20">
        <f t="shared" si="5"/>
        <v>14148.37458</v>
      </c>
      <c r="E122" s="20">
        <f t="shared" si="5"/>
        <v>14572.8258174</v>
      </c>
      <c r="F122" s="20">
        <f t="shared" si="5"/>
        <v>15010.010591922002</v>
      </c>
      <c r="G122" s="20">
        <f t="shared" si="5"/>
        <v>97386.699248460005</v>
      </c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</row>
    <row r="123" spans="1:31" ht="15" thickTop="1" x14ac:dyDescent="0.3">
      <c r="B123" s="16"/>
      <c r="C123" s="16"/>
      <c r="D123" s="16"/>
      <c r="E123" s="16"/>
      <c r="F123" s="16"/>
      <c r="G123" s="16"/>
    </row>
    <row r="124" spans="1:31" x14ac:dyDescent="0.3">
      <c r="A124" s="9" t="s">
        <v>4</v>
      </c>
      <c r="B124" s="16"/>
      <c r="C124" s="16"/>
      <c r="D124" s="16"/>
      <c r="E124" s="16"/>
      <c r="F124" s="16"/>
      <c r="G124" s="16"/>
    </row>
    <row r="125" spans="1:31" x14ac:dyDescent="0.3">
      <c r="A125" t="s">
        <v>19</v>
      </c>
      <c r="B125" s="16">
        <f>B75</f>
        <v>500</v>
      </c>
      <c r="C125" s="16"/>
      <c r="D125" s="16"/>
      <c r="E125" s="16"/>
      <c r="F125" s="16"/>
      <c r="G125" s="16"/>
    </row>
    <row r="126" spans="1:31" x14ac:dyDescent="0.3">
      <c r="A126" t="s">
        <v>36</v>
      </c>
      <c r="B126" s="16">
        <f>B76</f>
        <v>885</v>
      </c>
      <c r="C126" s="16">
        <f>B77*(1+$B$81)</f>
        <v>412</v>
      </c>
      <c r="D126" s="16">
        <f>C126*(1+$B$81)</f>
        <v>424.36</v>
      </c>
      <c r="E126" s="16">
        <f>D126*(1+$B$81)</f>
        <v>437.0908</v>
      </c>
      <c r="F126" s="16">
        <f>E126*(1+$B$81)</f>
        <v>450.20352400000002</v>
      </c>
      <c r="G126" s="16"/>
    </row>
    <row r="127" spans="1:31" x14ac:dyDescent="0.3">
      <c r="A127" t="s">
        <v>16</v>
      </c>
      <c r="B127" s="16"/>
      <c r="C127" s="16"/>
      <c r="D127" s="16"/>
      <c r="E127" s="16"/>
      <c r="F127" s="16"/>
      <c r="G127" s="16">
        <f>B78*(1+$B$81)^5</f>
        <v>3477.8222228999994</v>
      </c>
    </row>
    <row r="128" spans="1:31" x14ac:dyDescent="0.3">
      <c r="A128" t="s">
        <v>5</v>
      </c>
      <c r="B128" s="16"/>
      <c r="C128" s="16"/>
      <c r="D128" s="16"/>
      <c r="E128" s="16"/>
      <c r="F128" s="16"/>
      <c r="G128" s="14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</row>
    <row r="129" spans="1:31" x14ac:dyDescent="0.3">
      <c r="A129" t="s">
        <v>6</v>
      </c>
      <c r="B129" s="16"/>
      <c r="C129" s="16"/>
      <c r="D129" s="16"/>
      <c r="E129" s="16"/>
      <c r="F129" s="16"/>
      <c r="G129" s="14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</row>
    <row r="130" spans="1:31" x14ac:dyDescent="0.3">
      <c r="A130" t="s">
        <v>13</v>
      </c>
      <c r="B130" s="16">
        <f>12*B58</f>
        <v>1200</v>
      </c>
      <c r="C130" s="16">
        <f>B130*(1+$B$81)</f>
        <v>1236</v>
      </c>
      <c r="D130" s="16">
        <f>C130*(1+$B$81)</f>
        <v>1273.08</v>
      </c>
      <c r="E130" s="16">
        <f>D130*(1+$B$81)</f>
        <v>1311.2724000000001</v>
      </c>
      <c r="F130" s="16">
        <f>E130*(1+$B$81)</f>
        <v>1350.610572</v>
      </c>
      <c r="G130" s="14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</row>
    <row r="131" spans="1:31" x14ac:dyDescent="0.3">
      <c r="A131" t="s">
        <v>14</v>
      </c>
      <c r="B131" s="16">
        <f>B63*B62</f>
        <v>2205</v>
      </c>
      <c r="C131" s="16">
        <f>B131*(1+$B$81)</f>
        <v>2271.15</v>
      </c>
      <c r="D131" s="16">
        <f>C131*(1+$B$81)</f>
        <v>2339.2845000000002</v>
      </c>
      <c r="E131" s="16">
        <f>D131*(1+$B$81)</f>
        <v>2409.4630350000002</v>
      </c>
      <c r="F131" s="16">
        <f>E131*(1+$B$81)</f>
        <v>2481.7469260500002</v>
      </c>
      <c r="G131" s="14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</row>
    <row r="132" spans="1:31" x14ac:dyDescent="0.3">
      <c r="A132" t="s">
        <v>63</v>
      </c>
      <c r="B132" s="16">
        <f>B119*$B59</f>
        <v>2151</v>
      </c>
      <c r="C132" s="16">
        <f>C119*$B59</f>
        <v>2215.5300000000002</v>
      </c>
      <c r="D132" s="16">
        <f>D119*$B59</f>
        <v>2281.9958999999999</v>
      </c>
      <c r="E132" s="16">
        <f>E119*$B59</f>
        <v>2350.4557770000001</v>
      </c>
      <c r="F132" s="16">
        <f>F119*$B59</f>
        <v>2420.9694503100004</v>
      </c>
      <c r="G132" s="14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</row>
    <row r="133" spans="1:31" x14ac:dyDescent="0.3">
      <c r="A133" t="s">
        <v>23</v>
      </c>
      <c r="B133" s="16">
        <f>B119*$B60</f>
        <v>430.2</v>
      </c>
      <c r="C133" s="16">
        <f>C119*$B60</f>
        <v>443.10599999999999</v>
      </c>
      <c r="D133" s="16">
        <f>D119*$B60</f>
        <v>456.39918</v>
      </c>
      <c r="E133" s="16">
        <f>E119*$B60</f>
        <v>470.09115539999999</v>
      </c>
      <c r="F133" s="16">
        <f>F119*$B60</f>
        <v>484.19389006200004</v>
      </c>
      <c r="G133" s="14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</row>
    <row r="134" spans="1:31" x14ac:dyDescent="0.3">
      <c r="A134" t="s">
        <v>64</v>
      </c>
      <c r="B134" s="16">
        <f>12*B61</f>
        <v>1440</v>
      </c>
      <c r="C134" s="16">
        <f>B134*(1+$B$81)</f>
        <v>1483.2</v>
      </c>
      <c r="D134" s="16">
        <f>C134*(1+$B$81)</f>
        <v>1527.6960000000001</v>
      </c>
      <c r="E134" s="16">
        <f>D134*(1+$B$81)</f>
        <v>1573.5268800000001</v>
      </c>
      <c r="F134" s="16">
        <f>E134*(1+$B$81)</f>
        <v>1620.7326864000001</v>
      </c>
      <c r="G134" s="14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</row>
    <row r="135" spans="1:31" x14ac:dyDescent="0.3">
      <c r="A135" t="s">
        <v>68</v>
      </c>
      <c r="B135" s="16"/>
      <c r="C135" s="16"/>
      <c r="D135" s="16"/>
      <c r="E135" s="16"/>
      <c r="F135" s="16"/>
      <c r="G135" s="14">
        <f>$B$82*(1+$B$81)^5</f>
        <v>1159.2740742999999</v>
      </c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</row>
    <row r="136" spans="1:31" x14ac:dyDescent="0.3">
      <c r="A136" t="s">
        <v>102</v>
      </c>
      <c r="B136" s="16"/>
      <c r="C136" s="16"/>
      <c r="D136" s="16"/>
      <c r="E136" s="16"/>
      <c r="F136" s="16"/>
      <c r="G136" s="14">
        <f>2*B83</f>
        <v>3000</v>
      </c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</row>
    <row r="137" spans="1:31" ht="15" thickBot="1" x14ac:dyDescent="0.35">
      <c r="A137" t="s">
        <v>7</v>
      </c>
      <c r="B137" s="20">
        <f>SUM(B125:B136)</f>
        <v>8811.2000000000007</v>
      </c>
      <c r="C137" s="20">
        <f t="shared" ref="C137:G137" si="6">SUM(C125:C136)</f>
        <v>8060.9859999999999</v>
      </c>
      <c r="D137" s="20">
        <f t="shared" si="6"/>
        <v>8302.8155800000004</v>
      </c>
      <c r="E137" s="20">
        <f t="shared" si="6"/>
        <v>8551.9000474000004</v>
      </c>
      <c r="F137" s="20">
        <f t="shared" si="6"/>
        <v>8808.4570488219997</v>
      </c>
      <c r="G137" s="20">
        <f t="shared" si="6"/>
        <v>7637.0962971999998</v>
      </c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</row>
    <row r="138" spans="1:31" ht="15" thickTop="1" x14ac:dyDescent="0.3">
      <c r="B138" s="7"/>
      <c r="C138" s="7"/>
      <c r="D138" s="7"/>
      <c r="E138" s="7"/>
      <c r="F138" s="7"/>
    </row>
    <row r="139" spans="1:31" s="10" customFormat="1" x14ac:dyDescent="0.3">
      <c r="A139" s="10" t="s">
        <v>15</v>
      </c>
      <c r="B139" s="10">
        <f>PMT(B65,B66,-B63*B84)</f>
        <v>4857.7283272275527</v>
      </c>
      <c r="C139" s="10">
        <f>B139</f>
        <v>4857.7283272275527</v>
      </c>
      <c r="D139" s="10">
        <f t="shared" ref="D139:F139" si="7">C139</f>
        <v>4857.7283272275527</v>
      </c>
      <c r="E139" s="10">
        <f t="shared" si="7"/>
        <v>4857.7283272275527</v>
      </c>
      <c r="F139" s="10">
        <f t="shared" si="7"/>
        <v>4857.7283272275527</v>
      </c>
      <c r="G139" s="10">
        <f>FV(B65,5,D110,-B63*B84)</f>
        <v>75887.820272486337</v>
      </c>
    </row>
    <row r="140" spans="1:31" s="10" customFormat="1" x14ac:dyDescent="0.3">
      <c r="H140" s="41" t="s">
        <v>67</v>
      </c>
      <c r="I140" s="41" t="s">
        <v>92</v>
      </c>
      <c r="J140" s="42" t="s">
        <v>23</v>
      </c>
      <c r="K140" s="41" t="s">
        <v>105</v>
      </c>
      <c r="L140" s="42" t="s">
        <v>90</v>
      </c>
      <c r="M140" s="42" t="s">
        <v>91</v>
      </c>
      <c r="N140" s="42" t="s">
        <v>94</v>
      </c>
      <c r="O140" s="42"/>
    </row>
    <row r="141" spans="1:31" s="10" customFormat="1" ht="15" thickBot="1" x14ac:dyDescent="0.35">
      <c r="A141" s="10" t="s">
        <v>8</v>
      </c>
      <c r="B141" s="43">
        <f>B122-B137-B139</f>
        <v>667.27167277244735</v>
      </c>
      <c r="C141" s="43">
        <f>C122-C137-C139</f>
        <v>817.57167277244753</v>
      </c>
      <c r="D141" s="43">
        <f>D122-D137-D139</f>
        <v>987.83067277244663</v>
      </c>
      <c r="E141" s="43">
        <f>E122-E137-E139</f>
        <v>1163.1974427724472</v>
      </c>
      <c r="F141" s="43">
        <f>F122-F137-F139</f>
        <v>1343.8252158724499</v>
      </c>
      <c r="G141" s="43">
        <f>G122-G137-G139</f>
        <v>13861.78267877367</v>
      </c>
      <c r="H141" s="44">
        <f>SUM(B141:G141)</f>
        <v>18841.479355735908</v>
      </c>
      <c r="I141" s="10">
        <f>-SUM(B120:F120)</f>
        <v>5329.3105260780012</v>
      </c>
      <c r="J141" s="10">
        <f>SUM(B134:F134)</f>
        <v>7645.1555664000007</v>
      </c>
      <c r="K141" s="10">
        <f>SUM(B133:F133)*0.5</f>
        <v>1141.9951127310001</v>
      </c>
      <c r="L141" s="45">
        <f>(-B63*(1-B84))-B118</f>
        <v>-21999.999999999996</v>
      </c>
      <c r="M141" s="10">
        <f>SUM(H141:L141)</f>
        <v>10957.940560944913</v>
      </c>
      <c r="N141" s="32">
        <f>RATE(5,0,L141,(-L141+M141))</f>
        <v>8.4195192132447305E-2</v>
      </c>
      <c r="O141" s="46"/>
    </row>
    <row r="142" spans="1:31" ht="15" thickTop="1" x14ac:dyDescent="0.3">
      <c r="A142" t="s">
        <v>83</v>
      </c>
      <c r="B142" s="30">
        <f>(B122-B137)/B139</f>
        <v>1.1373629045972768</v>
      </c>
      <c r="C142" s="30">
        <f t="shared" ref="C142:F142" si="8">(C122-C137)/C139</f>
        <v>1.1683032927531087</v>
      </c>
      <c r="D142" s="30">
        <f t="shared" si="8"/>
        <v>1.2033523915357016</v>
      </c>
      <c r="E142" s="30">
        <f t="shared" si="8"/>
        <v>1.2394529632817728</v>
      </c>
      <c r="F142" s="30">
        <f t="shared" si="8"/>
        <v>1.2766365521802265</v>
      </c>
    </row>
    <row r="144" spans="1:31" x14ac:dyDescent="0.3">
      <c r="A144" s="24" t="s">
        <v>80</v>
      </c>
      <c r="B144" s="2"/>
      <c r="C144" s="3"/>
      <c r="D144" s="3"/>
      <c r="E144" s="3"/>
      <c r="F144" s="3"/>
      <c r="G144" s="3"/>
    </row>
    <row r="145" spans="1:17" x14ac:dyDescent="0.3">
      <c r="B145" s="8">
        <v>2026</v>
      </c>
      <c r="C145" s="8">
        <f>B145+1</f>
        <v>2027</v>
      </c>
      <c r="D145" s="8">
        <f t="shared" ref="D145" si="9">C145+1</f>
        <v>2028</v>
      </c>
      <c r="E145" s="8">
        <f t="shared" ref="E145" si="10">D145+1</f>
        <v>2029</v>
      </c>
      <c r="F145" s="8">
        <f t="shared" ref="F145" si="11">E145+1</f>
        <v>2030</v>
      </c>
      <c r="G145" s="8">
        <f t="shared" ref="G145" si="12">F145+1</f>
        <v>2031</v>
      </c>
      <c r="H145" s="8">
        <f t="shared" ref="H145" si="13">G145+1</f>
        <v>2032</v>
      </c>
      <c r="I145" s="8">
        <f t="shared" ref="I145" si="14">H145+1</f>
        <v>2033</v>
      </c>
      <c r="J145" s="8">
        <f t="shared" ref="J145" si="15">I145+1</f>
        <v>2034</v>
      </c>
      <c r="K145" s="8">
        <f t="shared" ref="K145" si="16">J145+1</f>
        <v>2035</v>
      </c>
      <c r="L145" s="8">
        <f t="shared" ref="L145" si="17">K145+1</f>
        <v>2036</v>
      </c>
      <c r="M145" s="8">
        <f t="shared" ref="M145" si="18">L145+1</f>
        <v>2037</v>
      </c>
      <c r="N145" s="8">
        <f t="shared" ref="N145" si="19">M145+1</f>
        <v>2038</v>
      </c>
      <c r="O145" s="8">
        <f t="shared" ref="O145" si="20">N145+1</f>
        <v>2039</v>
      </c>
      <c r="P145" s="8">
        <f t="shared" ref="P145:Q145" si="21">O145+1</f>
        <v>2040</v>
      </c>
      <c r="Q145" s="8">
        <f t="shared" si="21"/>
        <v>2041</v>
      </c>
    </row>
    <row r="146" spans="1:17" x14ac:dyDescent="0.3">
      <c r="A146" s="9" t="s">
        <v>2</v>
      </c>
    </row>
    <row r="147" spans="1:17" s="16" customFormat="1" x14ac:dyDescent="0.3">
      <c r="A147" s="47" t="s">
        <v>82</v>
      </c>
      <c r="B147" s="14">
        <v>1000</v>
      </c>
    </row>
    <row r="148" spans="1:17" s="16" customFormat="1" x14ac:dyDescent="0.3">
      <c r="A148" s="16" t="s">
        <v>12</v>
      </c>
      <c r="B148" s="16">
        <f>B71*12</f>
        <v>14340</v>
      </c>
      <c r="C148" s="16">
        <f>B148*(1+$B$81)</f>
        <v>14770.2</v>
      </c>
      <c r="D148" s="16">
        <f>C148*(1+$B$81)</f>
        <v>15213.306</v>
      </c>
      <c r="E148" s="16">
        <f>D148*(1+$B$81)</f>
        <v>15669.705180000001</v>
      </c>
      <c r="F148" s="16">
        <f>E148*(1+$B$81)</f>
        <v>16139.796335400002</v>
      </c>
      <c r="G148" s="16">
        <f>F148*(1+$B$81)</f>
        <v>16623.990225462003</v>
      </c>
      <c r="H148" s="16">
        <f>G148*(1+$B$81)</f>
        <v>17122.709932225862</v>
      </c>
      <c r="I148" s="16">
        <f>H148*(1+$B$81)</f>
        <v>17636.391230192639</v>
      </c>
      <c r="J148" s="16">
        <f>I148*(1+$B$81)</f>
        <v>18165.482967098418</v>
      </c>
      <c r="K148" s="16">
        <f>J148*(1+$B$81)</f>
        <v>18710.447456111371</v>
      </c>
      <c r="L148" s="16">
        <f>K148*(1+$B$81)</f>
        <v>19271.760879794714</v>
      </c>
      <c r="M148" s="16">
        <f>L148*(1+$B$81)</f>
        <v>19849.913706188556</v>
      </c>
      <c r="N148" s="16">
        <f>M148*(1+$B$81)</f>
        <v>20445.411117374213</v>
      </c>
      <c r="O148" s="16">
        <f>N148*(1+$B$81)</f>
        <v>21058.773450895442</v>
      </c>
      <c r="P148" s="16">
        <f>O148*(1+$B$81)</f>
        <v>21690.536654422307</v>
      </c>
    </row>
    <row r="149" spans="1:17" s="16" customFormat="1" x14ac:dyDescent="0.3">
      <c r="A149" s="16" t="s">
        <v>47</v>
      </c>
      <c r="B149" s="16">
        <f>B148*-$B74</f>
        <v>-1003.8000000000001</v>
      </c>
      <c r="C149" s="16">
        <f>C148*-$B74</f>
        <v>-1033.9140000000002</v>
      </c>
      <c r="D149" s="16">
        <f>D148*-$B74</f>
        <v>-1064.9314200000001</v>
      </c>
      <c r="E149" s="16">
        <f>E148*-$B74</f>
        <v>-1096.8793626000001</v>
      </c>
      <c r="F149" s="16">
        <f>F148*-$B74</f>
        <v>-1129.7857434780003</v>
      </c>
      <c r="G149" s="16">
        <f>G148*-$B74</f>
        <v>-1163.6793157823404</v>
      </c>
      <c r="H149" s="16">
        <f>H148*-$B74</f>
        <v>-1198.5896952558105</v>
      </c>
      <c r="I149" s="16">
        <f>I148*-$B74</f>
        <v>-1234.5473861134849</v>
      </c>
      <c r="J149" s="16">
        <f>J148*-$B74</f>
        <v>-1271.5838076968894</v>
      </c>
      <c r="K149" s="16">
        <f>K148*-$B74</f>
        <v>-1309.7313219277962</v>
      </c>
      <c r="L149" s="16">
        <f>L148*-$B74</f>
        <v>-1349.0232615856301</v>
      </c>
      <c r="M149" s="16">
        <f>M148*-$B74</f>
        <v>-1389.4939594331991</v>
      </c>
      <c r="N149" s="16">
        <f>N148*-$B74</f>
        <v>-1431.178778216195</v>
      </c>
      <c r="O149" s="16">
        <f>O148*-$B74</f>
        <v>-1474.114141562681</v>
      </c>
      <c r="P149" s="16">
        <f>P148*-$B74</f>
        <v>-1518.3375658095617</v>
      </c>
    </row>
    <row r="150" spans="1:17" s="16" customFormat="1" x14ac:dyDescent="0.3">
      <c r="A150" s="16" t="s">
        <v>17</v>
      </c>
      <c r="Q150" s="16">
        <f>B64-(SUM(B148:P148)*B72)</f>
        <v>78329.157486483455</v>
      </c>
    </row>
    <row r="151" spans="1:17" s="16" customFormat="1" ht="15" thickBot="1" x14ac:dyDescent="0.35">
      <c r="A151" s="16" t="s">
        <v>3</v>
      </c>
      <c r="B151" s="20">
        <f>SUM(B147:B150)</f>
        <v>14336.2</v>
      </c>
      <c r="C151" s="20">
        <f t="shared" ref="C151:Q151" si="22">SUM(C147:C150)</f>
        <v>13736.286</v>
      </c>
      <c r="D151" s="20">
        <f t="shared" si="22"/>
        <v>14148.37458</v>
      </c>
      <c r="E151" s="20">
        <f t="shared" si="22"/>
        <v>14572.8258174</v>
      </c>
      <c r="F151" s="20">
        <f t="shared" si="22"/>
        <v>15010.010591922002</v>
      </c>
      <c r="G151" s="20">
        <f t="shared" si="22"/>
        <v>15460.310909679662</v>
      </c>
      <c r="H151" s="20">
        <f t="shared" si="22"/>
        <v>15924.120236970051</v>
      </c>
      <c r="I151" s="20">
        <f t="shared" si="22"/>
        <v>16401.843844079154</v>
      </c>
      <c r="J151" s="20">
        <f t="shared" si="22"/>
        <v>16893.899159401528</v>
      </c>
      <c r="K151" s="20">
        <f t="shared" si="22"/>
        <v>17400.716134183574</v>
      </c>
      <c r="L151" s="20">
        <f t="shared" si="22"/>
        <v>17922.737618209085</v>
      </c>
      <c r="M151" s="20">
        <f t="shared" si="22"/>
        <v>18460.419746755357</v>
      </c>
      <c r="N151" s="20">
        <f t="shared" si="22"/>
        <v>19014.232339158018</v>
      </c>
      <c r="O151" s="20">
        <f t="shared" si="22"/>
        <v>19584.659309332761</v>
      </c>
      <c r="P151" s="20">
        <f t="shared" si="22"/>
        <v>20172.199088612746</v>
      </c>
      <c r="Q151" s="20">
        <f t="shared" si="22"/>
        <v>78329.157486483455</v>
      </c>
    </row>
    <row r="152" spans="1:17" s="16" customFormat="1" ht="15" thickTop="1" x14ac:dyDescent="0.3"/>
    <row r="153" spans="1:17" s="16" customFormat="1" x14ac:dyDescent="0.3">
      <c r="A153" s="48" t="s">
        <v>4</v>
      </c>
    </row>
    <row r="154" spans="1:17" s="16" customFormat="1" x14ac:dyDescent="0.3">
      <c r="A154" s="16" t="s">
        <v>19</v>
      </c>
      <c r="B154" s="16">
        <f>B75</f>
        <v>500</v>
      </c>
    </row>
    <row r="155" spans="1:17" s="16" customFormat="1" x14ac:dyDescent="0.3">
      <c r="A155" s="16" t="s">
        <v>36</v>
      </c>
      <c r="B155" s="16">
        <f>B76</f>
        <v>885</v>
      </c>
      <c r="C155" s="14">
        <f>B77*(1+$B$81)</f>
        <v>412</v>
      </c>
      <c r="D155" s="14">
        <f>C155*(1+$B$81)</f>
        <v>424.36</v>
      </c>
      <c r="E155" s="14">
        <f>D155*(1+$B$81)</f>
        <v>437.0908</v>
      </c>
      <c r="F155" s="14">
        <f>E155*(1+$B$81)</f>
        <v>450.20352400000002</v>
      </c>
      <c r="G155" s="14">
        <f>F155*(1+$B$81)</f>
        <v>463.70962972000001</v>
      </c>
      <c r="H155" s="14">
        <f>G155*(1+$B$81)</f>
        <v>477.62091861160002</v>
      </c>
      <c r="I155" s="14">
        <f>H155*(1+$B$81)</f>
        <v>491.94954616994801</v>
      </c>
      <c r="J155" s="14">
        <f>I155*(1+$B$81)</f>
        <v>506.70803255504649</v>
      </c>
      <c r="K155" s="14">
        <f>J155*(1+$B$81)</f>
        <v>521.90927353169786</v>
      </c>
      <c r="L155" s="14">
        <f>K155*(1+$B$81)</f>
        <v>537.56655173764887</v>
      </c>
      <c r="M155" s="14">
        <f>L155*(1+$B$81)</f>
        <v>553.69354828977839</v>
      </c>
      <c r="N155" s="14">
        <f>M155*(1+$B$81)</f>
        <v>570.30435473847172</v>
      </c>
      <c r="O155" s="14">
        <f>N155*(1+$B$81)</f>
        <v>587.41348538062584</v>
      </c>
      <c r="P155" s="14">
        <f>O155*(1+$B$81)</f>
        <v>605.03588994204461</v>
      </c>
      <c r="Q155" s="14"/>
    </row>
    <row r="156" spans="1:17" s="16" customFormat="1" x14ac:dyDescent="0.3">
      <c r="A156" s="16" t="s">
        <v>16</v>
      </c>
      <c r="Q156" s="16">
        <f>B78*(1+$B$81)^15</f>
        <v>4673.9022498022932</v>
      </c>
    </row>
    <row r="157" spans="1:17" s="16" customFormat="1" x14ac:dyDescent="0.3">
      <c r="A157" s="16" t="s">
        <v>5</v>
      </c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1:17" s="16" customFormat="1" x14ac:dyDescent="0.3">
      <c r="A158" s="16" t="s">
        <v>6</v>
      </c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1:17" s="16" customFormat="1" x14ac:dyDescent="0.3">
      <c r="A159" s="16" t="s">
        <v>13</v>
      </c>
      <c r="B159" s="14">
        <f>B58*12</f>
        <v>1200</v>
      </c>
      <c r="C159" s="14">
        <f>B159*(1+$B81)</f>
        <v>1236</v>
      </c>
      <c r="D159" s="14">
        <f>C159*(1+$B81)</f>
        <v>1273.08</v>
      </c>
      <c r="E159" s="14">
        <f>D159*(1+$B81)</f>
        <v>1311.2724000000001</v>
      </c>
      <c r="F159" s="14">
        <f>E159*(1+$B81)</f>
        <v>1350.610572</v>
      </c>
      <c r="G159" s="14">
        <f>F159*(1+$B81)</f>
        <v>1391.12888916</v>
      </c>
      <c r="H159" s="14">
        <f>G159*(1+$B81)</f>
        <v>1432.8627558348001</v>
      </c>
      <c r="I159" s="14">
        <f>H159*(1+$B81)</f>
        <v>1475.848638509844</v>
      </c>
      <c r="J159" s="14">
        <f>I159*(1+$B81)</f>
        <v>1520.1240976651393</v>
      </c>
      <c r="K159" s="14">
        <f>J159*(1+$B81)</f>
        <v>1565.7278205950936</v>
      </c>
      <c r="L159" s="14">
        <f>K159*(1+$B81)</f>
        <v>1612.6996552129465</v>
      </c>
      <c r="M159" s="14">
        <f>L159*(1+$B81)</f>
        <v>1661.0806448693349</v>
      </c>
      <c r="N159" s="14">
        <f>M159*(1+$B81)</f>
        <v>1710.913064215415</v>
      </c>
      <c r="O159" s="14">
        <f>N159*(1+$B81)</f>
        <v>1762.2404561418775</v>
      </c>
      <c r="P159" s="14">
        <f>O159*(1+$B81)</f>
        <v>1815.1076698261338</v>
      </c>
      <c r="Q159" s="14"/>
    </row>
    <row r="160" spans="1:17" s="16" customFormat="1" x14ac:dyDescent="0.3">
      <c r="A160" s="16" t="s">
        <v>14</v>
      </c>
      <c r="B160" s="14">
        <f>B63*B62</f>
        <v>2205</v>
      </c>
      <c r="C160" s="14">
        <f>B160*(1+$B$81)</f>
        <v>2271.15</v>
      </c>
      <c r="D160" s="14">
        <f>C160*(1+$B$81)</f>
        <v>2339.2845000000002</v>
      </c>
      <c r="E160" s="14">
        <f>D160*(1+$B$81)</f>
        <v>2409.4630350000002</v>
      </c>
      <c r="F160" s="14">
        <f>E160*(1+$B$81)</f>
        <v>2481.7469260500002</v>
      </c>
      <c r="G160" s="14">
        <f>F160*(1+$B$81)</f>
        <v>2556.1993338315001</v>
      </c>
      <c r="H160" s="14">
        <f>G160*(1+$B$81)</f>
        <v>2632.8853138464451</v>
      </c>
      <c r="I160" s="14">
        <f>H160*(1+$B$81)</f>
        <v>2711.8718732618386</v>
      </c>
      <c r="J160" s="14">
        <f>I160*(1+$B$81)</f>
        <v>2793.228029459694</v>
      </c>
      <c r="K160" s="14">
        <f>J160*(1+$B$81)</f>
        <v>2877.024870343485</v>
      </c>
      <c r="L160" s="14">
        <f>K160*(1+$B$81)</f>
        <v>2963.3356164537895</v>
      </c>
      <c r="M160" s="14">
        <f>L160*(1+$B$81)</f>
        <v>3052.2356849474031</v>
      </c>
      <c r="N160" s="14">
        <f>M160*(1+$B$81)</f>
        <v>3143.8027554958253</v>
      </c>
      <c r="O160" s="14">
        <f>N160*(1+$B$81)</f>
        <v>3238.1168381607004</v>
      </c>
      <c r="P160" s="14">
        <f>O160*(1+$B$81)</f>
        <v>3335.2603433055215</v>
      </c>
      <c r="Q160" s="14"/>
    </row>
    <row r="161" spans="1:31" s="16" customFormat="1" x14ac:dyDescent="0.3">
      <c r="A161" s="16" t="s">
        <v>48</v>
      </c>
      <c r="B161" s="14">
        <f>B148*$B59</f>
        <v>2151</v>
      </c>
      <c r="C161" s="14">
        <f>C119*$B59</f>
        <v>2215.5300000000002</v>
      </c>
      <c r="D161" s="14">
        <f>C161*(1+$B$81)</f>
        <v>2281.9959000000003</v>
      </c>
      <c r="E161" s="14">
        <f>D161*(1+$B$81)</f>
        <v>2350.4557770000006</v>
      </c>
      <c r="F161" s="14">
        <f>E161*(1+$B$81)</f>
        <v>2420.9694503100009</v>
      </c>
      <c r="G161" s="14">
        <f>F161*(1+$B$81)</f>
        <v>2493.5985338193009</v>
      </c>
      <c r="H161" s="14">
        <f>G161*(1+$B$81)</f>
        <v>2568.4064898338802</v>
      </c>
      <c r="I161" s="14">
        <f>H161*(1+$B$81)</f>
        <v>2645.4586845288968</v>
      </c>
      <c r="J161" s="14">
        <f>I161*(1+$B$81)</f>
        <v>2724.822445064764</v>
      </c>
      <c r="K161" s="14">
        <f>J161*(1+$B$81)</f>
        <v>2806.5671184167068</v>
      </c>
      <c r="L161" s="14">
        <f>K161*(1+$B$81)</f>
        <v>2890.7641319692079</v>
      </c>
      <c r="M161" s="14">
        <f>L161*(1+$B$81)</f>
        <v>2977.4870559282845</v>
      </c>
      <c r="N161" s="14">
        <f>M161*(1+$B$81)</f>
        <v>3066.8116676061331</v>
      </c>
      <c r="O161" s="14">
        <f>N161*(1+$B$81)</f>
        <v>3158.8160176343172</v>
      </c>
      <c r="P161" s="14">
        <f>O161*(1+$B$81)</f>
        <v>3253.5804981633469</v>
      </c>
      <c r="Q161" s="14"/>
    </row>
    <row r="162" spans="1:31" s="16" customFormat="1" x14ac:dyDescent="0.3">
      <c r="A162" s="16" t="s">
        <v>49</v>
      </c>
      <c r="B162" s="14">
        <f>B119*$B60</f>
        <v>430.2</v>
      </c>
      <c r="C162" s="14">
        <f>C119*$B60</f>
        <v>443.10599999999999</v>
      </c>
      <c r="D162" s="14">
        <f>C162*(1+$B$81)</f>
        <v>456.39918</v>
      </c>
      <c r="E162" s="14">
        <f>D162*(1+$B$81)</f>
        <v>470.09115539999999</v>
      </c>
      <c r="F162" s="14">
        <f>E162*(1+$B$81)</f>
        <v>484.19389006199998</v>
      </c>
      <c r="G162" s="14">
        <f>F162*(1+$B$81)</f>
        <v>498.71970676386002</v>
      </c>
      <c r="H162" s="14">
        <f>G162*(1+$B$81)</f>
        <v>513.68129796677579</v>
      </c>
      <c r="I162" s="14">
        <f>H162*(1+$B$81)</f>
        <v>529.09173690577904</v>
      </c>
      <c r="J162" s="14">
        <f>I162*(1+$B$81)</f>
        <v>544.96448901295241</v>
      </c>
      <c r="K162" s="14">
        <f>J162*(1+$B$81)</f>
        <v>561.31342368334094</v>
      </c>
      <c r="L162" s="14">
        <f>K162*(1+$B$81)</f>
        <v>578.15282639384122</v>
      </c>
      <c r="M162" s="14">
        <f>L162*(1+$B$81)</f>
        <v>595.49741118565646</v>
      </c>
      <c r="N162" s="14">
        <f>M162*(1+$B$81)</f>
        <v>613.36233352122622</v>
      </c>
      <c r="O162" s="14">
        <f>N162*(1+$B$81)</f>
        <v>631.76320352686298</v>
      </c>
      <c r="P162" s="14">
        <f>O162*(1+$B$81)</f>
        <v>650.71609963266894</v>
      </c>
      <c r="Q162" s="14"/>
    </row>
    <row r="163" spans="1:31" s="16" customFormat="1" x14ac:dyDescent="0.3">
      <c r="A163" s="16" t="s">
        <v>50</v>
      </c>
      <c r="B163" s="14">
        <f>12*B61</f>
        <v>1440</v>
      </c>
      <c r="C163" s="14">
        <f>B163*(1+$B$81)</f>
        <v>1483.2</v>
      </c>
      <c r="D163" s="14">
        <f>C163*(1+$B$81)</f>
        <v>1527.6960000000001</v>
      </c>
      <c r="E163" s="14">
        <f>D163*(1+$B$81)</f>
        <v>1573.5268800000001</v>
      </c>
      <c r="F163" s="14">
        <f>E163*(1+$B$81)</f>
        <v>1620.7326864000001</v>
      </c>
      <c r="G163" s="14">
        <f>F163*(1+$B$81)</f>
        <v>1669.3546669920001</v>
      </c>
      <c r="H163" s="14">
        <f>G163*(1+$B$81)</f>
        <v>1719.4353070017603</v>
      </c>
      <c r="I163" s="14">
        <f>H163*(1+$B$81)</f>
        <v>1771.0183662118131</v>
      </c>
      <c r="J163" s="14">
        <f>I163*(1+$B$81)</f>
        <v>1824.1489171981675</v>
      </c>
      <c r="K163" s="14">
        <f>J163*(1+$B$81)</f>
        <v>1878.8733847141125</v>
      </c>
      <c r="L163" s="14">
        <f>K163*(1+$B$81)</f>
        <v>1935.2395862555359</v>
      </c>
      <c r="M163" s="14">
        <f>L163*(1+$B$81)</f>
        <v>1993.2967738432019</v>
      </c>
      <c r="N163" s="14">
        <f>M163*(1+$B$81)</f>
        <v>2053.095677058498</v>
      </c>
      <c r="O163" s="14">
        <f>N163*(1+$B$81)</f>
        <v>2114.6885473702532</v>
      </c>
      <c r="P163" s="14">
        <f>O163*(1+$B$81)</f>
        <v>2178.1292037913609</v>
      </c>
      <c r="Q163" s="14"/>
    </row>
    <row r="164" spans="1:31" x14ac:dyDescent="0.3">
      <c r="A164" t="s">
        <v>68</v>
      </c>
      <c r="B164" s="7"/>
      <c r="C164" s="7"/>
      <c r="D164" s="7"/>
      <c r="E164" s="7"/>
      <c r="F164" s="7"/>
      <c r="H164" s="12"/>
      <c r="I164" s="12"/>
      <c r="J164" s="12"/>
      <c r="K164" s="12"/>
      <c r="L164" s="12"/>
      <c r="M164" s="12"/>
      <c r="N164" s="12"/>
      <c r="O164" s="12"/>
      <c r="P164" s="12"/>
      <c r="Q164" s="4">
        <f>$B$82*(1+$B$81)^15</f>
        <v>1557.9674166007644</v>
      </c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</row>
    <row r="165" spans="1:31" x14ac:dyDescent="0.3">
      <c r="A165" t="s">
        <v>102</v>
      </c>
      <c r="B165" s="7"/>
      <c r="C165" s="7"/>
      <c r="D165" s="7"/>
      <c r="E165" s="7"/>
      <c r="F165" s="7"/>
      <c r="H165" s="12"/>
      <c r="I165" s="12"/>
      <c r="J165" s="12"/>
      <c r="K165" s="12"/>
      <c r="L165" s="12"/>
      <c r="M165" s="12"/>
      <c r="N165" s="12"/>
      <c r="O165" s="12"/>
      <c r="P165" s="12"/>
      <c r="Q165" s="4">
        <f>12*B83</f>
        <v>18000</v>
      </c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</row>
    <row r="166" spans="1:31" ht="15" thickBot="1" x14ac:dyDescent="0.35">
      <c r="A166" t="s">
        <v>7</v>
      </c>
      <c r="B166" s="20">
        <f>SUM(B154:B165)</f>
        <v>8811.2000000000007</v>
      </c>
      <c r="C166" s="20">
        <f t="shared" ref="C166:Q166" si="23">SUM(C154:C165)</f>
        <v>8060.9859999999999</v>
      </c>
      <c r="D166" s="20">
        <f t="shared" si="23"/>
        <v>8302.8155800000004</v>
      </c>
      <c r="E166" s="20">
        <f t="shared" si="23"/>
        <v>8551.9000474000022</v>
      </c>
      <c r="F166" s="20">
        <f t="shared" si="23"/>
        <v>8808.4570488220015</v>
      </c>
      <c r="G166" s="20">
        <f t="shared" si="23"/>
        <v>9072.7107602866618</v>
      </c>
      <c r="H166" s="20">
        <f t="shared" si="23"/>
        <v>9344.8920830952611</v>
      </c>
      <c r="I166" s="20">
        <f t="shared" si="23"/>
        <v>9625.2388455881191</v>
      </c>
      <c r="J166" s="20">
        <f t="shared" si="23"/>
        <v>9913.9960109557633</v>
      </c>
      <c r="K166" s="20">
        <f t="shared" si="23"/>
        <v>10211.415891284436</v>
      </c>
      <c r="L166" s="20">
        <f t="shared" si="23"/>
        <v>10517.758368022969</v>
      </c>
      <c r="M166" s="20">
        <f t="shared" si="23"/>
        <v>10833.291119063661</v>
      </c>
      <c r="N166" s="20">
        <f t="shared" si="23"/>
        <v>11158.289852635569</v>
      </c>
      <c r="O166" s="20">
        <f t="shared" si="23"/>
        <v>11493.038548214638</v>
      </c>
      <c r="P166" s="20">
        <f t="shared" si="23"/>
        <v>11837.829704661077</v>
      </c>
      <c r="Q166" s="20">
        <f t="shared" si="23"/>
        <v>24231.869666403058</v>
      </c>
    </row>
    <row r="167" spans="1:31" ht="15" thickTop="1" x14ac:dyDescent="0.3"/>
    <row r="168" spans="1:31" s="10" customFormat="1" x14ac:dyDescent="0.3">
      <c r="A168" s="10" t="s">
        <v>15</v>
      </c>
      <c r="B168" s="10">
        <f>PMT(B65,B66,-B63*B84)</f>
        <v>4857.7283272275527</v>
      </c>
      <c r="C168" s="10">
        <f>B168</f>
        <v>4857.7283272275527</v>
      </c>
      <c r="D168" s="10">
        <f>C168</f>
        <v>4857.7283272275527</v>
      </c>
      <c r="E168" s="10">
        <f t="shared" ref="E168:P168" si="24">D168</f>
        <v>4857.7283272275527</v>
      </c>
      <c r="F168" s="10">
        <f t="shared" si="24"/>
        <v>4857.7283272275527</v>
      </c>
      <c r="G168" s="10">
        <f t="shared" si="24"/>
        <v>4857.7283272275527</v>
      </c>
      <c r="H168" s="10">
        <f t="shared" si="24"/>
        <v>4857.7283272275527</v>
      </c>
      <c r="I168" s="10">
        <f t="shared" si="24"/>
        <v>4857.7283272275527</v>
      </c>
      <c r="J168" s="10">
        <f t="shared" si="24"/>
        <v>4857.7283272275527</v>
      </c>
      <c r="K168" s="10">
        <f t="shared" si="24"/>
        <v>4857.7283272275527</v>
      </c>
      <c r="L168" s="10">
        <f t="shared" si="24"/>
        <v>4857.7283272275527</v>
      </c>
      <c r="M168" s="10">
        <f t="shared" si="24"/>
        <v>4857.7283272275527</v>
      </c>
      <c r="N168" s="10">
        <f t="shared" si="24"/>
        <v>4857.7283272275527</v>
      </c>
      <c r="O168" s="10">
        <f t="shared" si="24"/>
        <v>4857.7283272275527</v>
      </c>
      <c r="P168" s="10">
        <f t="shared" si="24"/>
        <v>4857.7283272275527</v>
      </c>
      <c r="Q168" s="10">
        <f>FV(B65,15,D110,-B63*B84)</f>
        <v>54010.105582333839</v>
      </c>
    </row>
    <row r="169" spans="1:31" s="10" customFormat="1" x14ac:dyDescent="0.3">
      <c r="R169" s="41" t="s">
        <v>67</v>
      </c>
      <c r="S169" s="41" t="s">
        <v>92</v>
      </c>
      <c r="T169" s="42" t="s">
        <v>23</v>
      </c>
      <c r="U169" s="41" t="s">
        <v>106</v>
      </c>
      <c r="V169" s="42" t="s">
        <v>90</v>
      </c>
      <c r="W169" s="42" t="s">
        <v>91</v>
      </c>
      <c r="X169" s="42" t="s">
        <v>94</v>
      </c>
    </row>
    <row r="170" spans="1:31" s="10" customFormat="1" ht="15" thickBot="1" x14ac:dyDescent="0.35">
      <c r="A170" s="10" t="s">
        <v>8</v>
      </c>
      <c r="B170" s="43">
        <f>B151-B166-B168</f>
        <v>667.27167277244735</v>
      </c>
      <c r="C170" s="43">
        <f>C151-C166-C168</f>
        <v>817.57167277244753</v>
      </c>
      <c r="D170" s="43">
        <f>D151-D166-D168</f>
        <v>987.83067277244663</v>
      </c>
      <c r="E170" s="43">
        <f t="shared" ref="E170:P170" si="25">E151-E166-E168</f>
        <v>1163.1974427724454</v>
      </c>
      <c r="F170" s="11">
        <f t="shared" si="25"/>
        <v>1343.8252158724481</v>
      </c>
      <c r="G170" s="11">
        <f t="shared" si="25"/>
        <v>1529.8718221654472</v>
      </c>
      <c r="H170" s="11">
        <f t="shared" si="25"/>
        <v>1721.4998266472376</v>
      </c>
      <c r="I170" s="11">
        <f t="shared" si="25"/>
        <v>1918.8766712634824</v>
      </c>
      <c r="J170" s="11">
        <f t="shared" si="25"/>
        <v>2122.1748212182119</v>
      </c>
      <c r="K170" s="11">
        <f t="shared" si="25"/>
        <v>2331.5719156715859</v>
      </c>
      <c r="L170" s="11">
        <f t="shared" si="25"/>
        <v>2547.250922958563</v>
      </c>
      <c r="M170" s="11">
        <f t="shared" si="25"/>
        <v>2769.4003004641436</v>
      </c>
      <c r="N170" s="11">
        <f t="shared" si="25"/>
        <v>2998.2141592948956</v>
      </c>
      <c r="O170" s="11">
        <f t="shared" si="25"/>
        <v>3233.8924338905708</v>
      </c>
      <c r="P170" s="11">
        <f t="shared" si="25"/>
        <v>3476.6410567241164</v>
      </c>
      <c r="Q170" s="11">
        <f>Q151-Q166-Q168</f>
        <v>87.182237746557803</v>
      </c>
      <c r="R170" s="44">
        <f>SUM(B170:Q170)</f>
        <v>29716.27284500705</v>
      </c>
      <c r="S170" s="10">
        <f>-SUM(B149:P149)</f>
        <v>18669.589759461589</v>
      </c>
      <c r="T170" s="10">
        <f>SUM(B162:P162)</f>
        <v>8001.2527540549636</v>
      </c>
      <c r="U170" s="10">
        <v>0</v>
      </c>
      <c r="V170" s="45">
        <f>(-B63*(1-B84))-B118</f>
        <v>-21999.999999999996</v>
      </c>
      <c r="W170" s="10">
        <f>SUM(R170:V170)</f>
        <v>34387.115358523602</v>
      </c>
      <c r="X170" s="32">
        <f>RATE(15,0,V170,(-V170+W170))</f>
        <v>6.4756940818314179E-2</v>
      </c>
    </row>
    <row r="171" spans="1:31" ht="15" thickTop="1" x14ac:dyDescent="0.3">
      <c r="A171" t="s">
        <v>83</v>
      </c>
      <c r="B171" s="30">
        <f>(B151-B166)/B168</f>
        <v>1.1373629045972768</v>
      </c>
      <c r="C171" s="30">
        <f t="shared" ref="C171:P171" si="26">(C151-C166)/C168</f>
        <v>1.1683032927531087</v>
      </c>
      <c r="D171" s="30">
        <f t="shared" si="26"/>
        <v>1.2033523915357016</v>
      </c>
      <c r="E171" s="30">
        <f t="shared" si="26"/>
        <v>1.2394529632817726</v>
      </c>
      <c r="F171" s="30">
        <f t="shared" si="26"/>
        <v>1.2766365521802263</v>
      </c>
      <c r="G171" s="30">
        <f t="shared" si="26"/>
        <v>1.314935648745633</v>
      </c>
      <c r="H171" s="30">
        <f t="shared" si="26"/>
        <v>1.3543837182080019</v>
      </c>
      <c r="I171" s="30">
        <f t="shared" si="26"/>
        <v>1.3950152297542422</v>
      </c>
      <c r="J171" s="30">
        <f t="shared" si="26"/>
        <v>1.4368656866468692</v>
      </c>
      <c r="K171" s="30">
        <f t="shared" si="26"/>
        <v>1.4799716572462756</v>
      </c>
      <c r="L171" s="30">
        <f t="shared" si="26"/>
        <v>1.5243708069636643</v>
      </c>
      <c r="M171" s="30">
        <f t="shared" si="26"/>
        <v>1.5701019311725737</v>
      </c>
      <c r="N171" s="30">
        <f t="shared" si="26"/>
        <v>1.6172049891077511</v>
      </c>
      <c r="O171" s="30">
        <f t="shared" si="26"/>
        <v>1.665721138780984</v>
      </c>
      <c r="P171" s="30">
        <f t="shared" si="26"/>
        <v>1.7156927729444138</v>
      </c>
    </row>
    <row r="172" spans="1:31" x14ac:dyDescent="0.3">
      <c r="B172" s="30"/>
      <c r="C172" s="30"/>
      <c r="D172" s="30"/>
    </row>
    <row r="173" spans="1:31" x14ac:dyDescent="0.3">
      <c r="A173" s="24" t="s">
        <v>81</v>
      </c>
      <c r="B173" s="2"/>
      <c r="C173" s="3"/>
      <c r="D173" s="3"/>
      <c r="E173" s="3"/>
      <c r="F173" s="3"/>
      <c r="G173" s="3"/>
    </row>
    <row r="174" spans="1:31" x14ac:dyDescent="0.3">
      <c r="B174" s="8">
        <v>2026</v>
      </c>
      <c r="C174" s="8">
        <f>B174+1</f>
        <v>2027</v>
      </c>
      <c r="D174" s="8">
        <f t="shared" ref="D174" si="27">C174+1</f>
        <v>2028</v>
      </c>
      <c r="E174" s="8">
        <f t="shared" ref="E174" si="28">D174+1</f>
        <v>2029</v>
      </c>
      <c r="F174" s="8">
        <f t="shared" ref="F174" si="29">E174+1</f>
        <v>2030</v>
      </c>
      <c r="G174" s="8">
        <f t="shared" ref="G174" si="30">F174+1</f>
        <v>2031</v>
      </c>
      <c r="H174" s="8">
        <f t="shared" ref="H174" si="31">G174+1</f>
        <v>2032</v>
      </c>
      <c r="I174" s="8">
        <f t="shared" ref="I174" si="32">H174+1</f>
        <v>2033</v>
      </c>
      <c r="J174" s="8">
        <f t="shared" ref="J174" si="33">I174+1</f>
        <v>2034</v>
      </c>
      <c r="K174" s="8">
        <f t="shared" ref="K174" si="34">J174+1</f>
        <v>2035</v>
      </c>
      <c r="L174" s="8">
        <f t="shared" ref="L174" si="35">K174+1</f>
        <v>2036</v>
      </c>
      <c r="M174" s="8">
        <f t="shared" ref="M174" si="36">L174+1</f>
        <v>2037</v>
      </c>
      <c r="N174" s="8">
        <f t="shared" ref="N174" si="37">M174+1</f>
        <v>2038</v>
      </c>
      <c r="O174" s="8">
        <f t="shared" ref="O174" si="38">N174+1</f>
        <v>2039</v>
      </c>
      <c r="P174" s="8">
        <f t="shared" ref="P174" si="39">O174+1</f>
        <v>2040</v>
      </c>
      <c r="Q174" s="8">
        <f t="shared" ref="Q174" si="40">P174+1</f>
        <v>2041</v>
      </c>
    </row>
    <row r="175" spans="1:31" x14ac:dyDescent="0.3">
      <c r="A175" s="9" t="s">
        <v>2</v>
      </c>
    </row>
    <row r="176" spans="1:31" s="14" customFormat="1" x14ac:dyDescent="0.3">
      <c r="A176" s="14" t="s">
        <v>104</v>
      </c>
      <c r="B176" s="14">
        <v>1000</v>
      </c>
      <c r="D176" s="14">
        <v>2000</v>
      </c>
      <c r="F176" s="14">
        <v>2000</v>
      </c>
      <c r="H176" s="14">
        <v>2000</v>
      </c>
      <c r="J176" s="14">
        <v>2000</v>
      </c>
      <c r="L176" s="14">
        <v>2000</v>
      </c>
      <c r="N176" s="14">
        <v>2000</v>
      </c>
      <c r="P176" s="14">
        <v>2000</v>
      </c>
    </row>
    <row r="177" spans="1:17" s="14" customFormat="1" x14ac:dyDescent="0.3">
      <c r="A177" s="14" t="s">
        <v>12</v>
      </c>
      <c r="B177" s="14">
        <f>B71*12</f>
        <v>14340</v>
      </c>
      <c r="C177" s="14">
        <f>B177*(1+$B$81)</f>
        <v>14770.2</v>
      </c>
      <c r="D177" s="14">
        <f>C177*(1+$B$81)</f>
        <v>15213.306</v>
      </c>
      <c r="E177" s="14">
        <f>D177*(1+$B$81)</f>
        <v>15669.705180000001</v>
      </c>
      <c r="F177" s="14">
        <f>E177*(1+$B$81)</f>
        <v>16139.796335400002</v>
      </c>
      <c r="G177" s="14">
        <f>F177*(1+$B$81)</f>
        <v>16623.990225462003</v>
      </c>
      <c r="H177" s="14">
        <f>G177*(1+$B$81)</f>
        <v>17122.709932225862</v>
      </c>
      <c r="I177" s="14">
        <f>H177*(1+$B$81)</f>
        <v>17636.391230192639</v>
      </c>
      <c r="J177" s="14">
        <f>I177*(1+$B$81)</f>
        <v>18165.482967098418</v>
      </c>
      <c r="K177" s="14">
        <f>J177*(1+$B$81)</f>
        <v>18710.447456111371</v>
      </c>
      <c r="L177" s="14">
        <f>K177*(1+$B$81)</f>
        <v>19271.760879794714</v>
      </c>
      <c r="M177" s="14">
        <f>L177*(1+$B$81)</f>
        <v>19849.913706188556</v>
      </c>
      <c r="N177" s="14">
        <f>M177*(1+$B$81)</f>
        <v>20445.411117374213</v>
      </c>
      <c r="O177" s="14">
        <f>N177*(1+$B$81)</f>
        <v>21058.773450895442</v>
      </c>
      <c r="P177" s="14">
        <f>O177*(1+$B$81)</f>
        <v>21690.536654422307</v>
      </c>
    </row>
    <row r="178" spans="1:17" s="14" customFormat="1" x14ac:dyDescent="0.3">
      <c r="A178" s="14" t="s">
        <v>47</v>
      </c>
      <c r="B178" s="14">
        <f>B177*-$B74</f>
        <v>-1003.8000000000001</v>
      </c>
      <c r="C178" s="14">
        <f>C177*-$B74</f>
        <v>-1033.9140000000002</v>
      </c>
      <c r="D178" s="14">
        <f>D177*-$B74</f>
        <v>-1064.9314200000001</v>
      </c>
      <c r="E178" s="14">
        <f>E177*-$B74</f>
        <v>-1096.8793626000001</v>
      </c>
      <c r="F178" s="14">
        <f>F177*-$B74</f>
        <v>-1129.7857434780003</v>
      </c>
      <c r="G178" s="14">
        <f>G177*-$B74</f>
        <v>-1163.6793157823404</v>
      </c>
      <c r="H178" s="14">
        <f>H177*-$B74</f>
        <v>-1198.5896952558105</v>
      </c>
      <c r="I178" s="14">
        <f>I177*-$B74</f>
        <v>-1234.5473861134849</v>
      </c>
      <c r="J178" s="14">
        <f>J177*-$B74</f>
        <v>-1271.5838076968894</v>
      </c>
      <c r="K178" s="14">
        <f>K177*-$B74</f>
        <v>-1309.7313219277962</v>
      </c>
      <c r="L178" s="14">
        <f>L177*-$B74</f>
        <v>-1349.0232615856301</v>
      </c>
      <c r="M178" s="14">
        <f>M177*-$B74</f>
        <v>-1389.4939594331991</v>
      </c>
      <c r="N178" s="14">
        <f>N177*-$B74</f>
        <v>-1431.178778216195</v>
      </c>
      <c r="O178" s="14">
        <f>O177*-$B74</f>
        <v>-1474.114141562681</v>
      </c>
      <c r="P178" s="14">
        <f>P177*-$B74</f>
        <v>-1518.3375658095617</v>
      </c>
    </row>
    <row r="179" spans="1:17" s="14" customFormat="1" x14ac:dyDescent="0.3">
      <c r="A179" s="14" t="s">
        <v>17</v>
      </c>
      <c r="Q179" s="14">
        <f>B64-(B72*P177)</f>
        <v>102830.94633455777</v>
      </c>
    </row>
    <row r="180" spans="1:17" s="14" customFormat="1" ht="15" thickBot="1" x14ac:dyDescent="0.35">
      <c r="A180" s="14" t="s">
        <v>3</v>
      </c>
      <c r="B180" s="49">
        <f>SUM(B176:B179)</f>
        <v>14336.2</v>
      </c>
      <c r="C180" s="49">
        <f t="shared" ref="C180:Q180" si="41">SUM(C176:C179)</f>
        <v>13736.286</v>
      </c>
      <c r="D180" s="49">
        <f t="shared" si="41"/>
        <v>16148.37458</v>
      </c>
      <c r="E180" s="49">
        <f t="shared" si="41"/>
        <v>14572.8258174</v>
      </c>
      <c r="F180" s="49">
        <f t="shared" si="41"/>
        <v>17010.010591922</v>
      </c>
      <c r="G180" s="49">
        <f t="shared" si="41"/>
        <v>15460.310909679662</v>
      </c>
      <c r="H180" s="49">
        <f t="shared" si="41"/>
        <v>17924.120236970051</v>
      </c>
      <c r="I180" s="49">
        <f t="shared" si="41"/>
        <v>16401.843844079154</v>
      </c>
      <c r="J180" s="49">
        <f t="shared" si="41"/>
        <v>18893.899159401528</v>
      </c>
      <c r="K180" s="49">
        <f t="shared" si="41"/>
        <v>17400.716134183574</v>
      </c>
      <c r="L180" s="49">
        <f t="shared" si="41"/>
        <v>19922.737618209085</v>
      </c>
      <c r="M180" s="49">
        <f t="shared" si="41"/>
        <v>18460.419746755357</v>
      </c>
      <c r="N180" s="49">
        <f t="shared" si="41"/>
        <v>21014.232339158018</v>
      </c>
      <c r="O180" s="49">
        <f t="shared" si="41"/>
        <v>19584.659309332761</v>
      </c>
      <c r="P180" s="49">
        <f t="shared" si="41"/>
        <v>22172.199088612746</v>
      </c>
      <c r="Q180" s="49">
        <f t="shared" si="41"/>
        <v>102830.94633455777</v>
      </c>
    </row>
    <row r="181" spans="1:17" s="14" customFormat="1" ht="15" thickTop="1" x14ac:dyDescent="0.3"/>
    <row r="182" spans="1:17" s="14" customFormat="1" x14ac:dyDescent="0.3">
      <c r="A182" s="50" t="s">
        <v>4</v>
      </c>
    </row>
    <row r="183" spans="1:17" s="14" customFormat="1" x14ac:dyDescent="0.3">
      <c r="A183" s="14" t="s">
        <v>19</v>
      </c>
      <c r="B183" s="14">
        <f>B75</f>
        <v>500</v>
      </c>
      <c r="D183" s="14">
        <v>250</v>
      </c>
      <c r="F183" s="14">
        <v>250</v>
      </c>
      <c r="H183" s="14">
        <v>250</v>
      </c>
      <c r="J183" s="14">
        <v>250</v>
      </c>
      <c r="L183" s="14">
        <v>250</v>
      </c>
      <c r="N183" s="14">
        <v>250</v>
      </c>
      <c r="P183" s="14">
        <v>250</v>
      </c>
    </row>
    <row r="184" spans="1:17" s="14" customFormat="1" x14ac:dyDescent="0.3">
      <c r="A184" s="14" t="s">
        <v>36</v>
      </c>
      <c r="B184" s="14">
        <f>B76</f>
        <v>885</v>
      </c>
      <c r="C184" s="14">
        <f>B77*(1+$B$81)</f>
        <v>412</v>
      </c>
      <c r="D184" s="14">
        <v>885</v>
      </c>
      <c r="E184" s="14">
        <v>437.0908</v>
      </c>
      <c r="F184" s="14">
        <v>885</v>
      </c>
      <c r="G184" s="14">
        <v>463.70962972000001</v>
      </c>
      <c r="H184" s="14">
        <v>885</v>
      </c>
      <c r="I184" s="14">
        <v>491.94954616994801</v>
      </c>
      <c r="J184" s="14">
        <v>885</v>
      </c>
      <c r="K184" s="14">
        <v>521.90927353169786</v>
      </c>
      <c r="L184" s="14">
        <v>885</v>
      </c>
      <c r="M184" s="14">
        <v>553.69354828977839</v>
      </c>
      <c r="N184" s="14">
        <v>885</v>
      </c>
      <c r="O184" s="14">
        <v>587.41348538062584</v>
      </c>
      <c r="P184" s="14">
        <v>885</v>
      </c>
    </row>
    <row r="185" spans="1:17" s="14" customFormat="1" x14ac:dyDescent="0.3">
      <c r="A185" s="14" t="s">
        <v>16</v>
      </c>
      <c r="Q185" s="14">
        <f>B78*(1+$B$81)^15</f>
        <v>4673.9022498022932</v>
      </c>
    </row>
    <row r="186" spans="1:17" s="14" customFormat="1" x14ac:dyDescent="0.3">
      <c r="A186" s="14" t="s">
        <v>5</v>
      </c>
    </row>
    <row r="187" spans="1:17" s="14" customFormat="1" x14ac:dyDescent="0.3">
      <c r="A187" s="14" t="s">
        <v>6</v>
      </c>
    </row>
    <row r="188" spans="1:17" s="14" customFormat="1" x14ac:dyDescent="0.3">
      <c r="A188" s="14" t="s">
        <v>13</v>
      </c>
      <c r="B188" s="14">
        <f>B58*12</f>
        <v>1200</v>
      </c>
      <c r="C188" s="14">
        <f>B188*(1+$B$81)</f>
        <v>1236</v>
      </c>
      <c r="D188" s="14">
        <f>C188*(1+$B$81)</f>
        <v>1273.08</v>
      </c>
      <c r="E188" s="14">
        <f>D188*(1+$B$81)</f>
        <v>1311.2724000000001</v>
      </c>
      <c r="F188" s="14">
        <f>E188*(1+$B$81)</f>
        <v>1350.610572</v>
      </c>
      <c r="G188" s="14">
        <f>F188*(1+$B$81)</f>
        <v>1391.12888916</v>
      </c>
      <c r="H188" s="14">
        <f>G188*(1+$B$81)</f>
        <v>1432.8627558348001</v>
      </c>
      <c r="I188" s="14">
        <f>H188*(1+$B$81)</f>
        <v>1475.848638509844</v>
      </c>
      <c r="J188" s="14">
        <f>I188*(1+$B$81)</f>
        <v>1520.1240976651393</v>
      </c>
      <c r="K188" s="14">
        <f>J188*(1+$B$81)</f>
        <v>1565.7278205950936</v>
      </c>
      <c r="L188" s="14">
        <f>K188*(1+$B$81)</f>
        <v>1612.6996552129465</v>
      </c>
      <c r="M188" s="14">
        <f>L188*(1+$B$81)</f>
        <v>1661.0806448693349</v>
      </c>
      <c r="N188" s="14">
        <f>M188*(1+$B$81)</f>
        <v>1710.913064215415</v>
      </c>
      <c r="O188" s="14">
        <f>N188*(1+$B$81)</f>
        <v>1762.2404561418775</v>
      </c>
      <c r="P188" s="14">
        <f>O188*(1+$B$81)</f>
        <v>1815.1076698261338</v>
      </c>
    </row>
    <row r="189" spans="1:17" s="14" customFormat="1" x14ac:dyDescent="0.3">
      <c r="A189" s="14" t="s">
        <v>14</v>
      </c>
      <c r="B189" s="14">
        <f>B62*B63</f>
        <v>2205</v>
      </c>
      <c r="C189" s="14">
        <f>B189*(1+$B$81)</f>
        <v>2271.15</v>
      </c>
      <c r="D189" s="14">
        <f>C189*(1+$B$81)</f>
        <v>2339.2845000000002</v>
      </c>
      <c r="E189" s="14">
        <f>D189*(1+$B$81)</f>
        <v>2409.4630350000002</v>
      </c>
      <c r="F189" s="14">
        <f>E189*(1+$B$81)</f>
        <v>2481.7469260500002</v>
      </c>
      <c r="G189" s="14">
        <f>F189*(1+$B$81)</f>
        <v>2556.1993338315001</v>
      </c>
      <c r="H189" s="14">
        <f>G189*(1+$B$81)</f>
        <v>2632.8853138464451</v>
      </c>
      <c r="I189" s="14">
        <f>H189*(1+$B$81)</f>
        <v>2711.8718732618386</v>
      </c>
      <c r="J189" s="14">
        <f>I189*(1+$B$81)</f>
        <v>2793.228029459694</v>
      </c>
      <c r="K189" s="14">
        <f>J189*(1+$B$81)</f>
        <v>2877.024870343485</v>
      </c>
      <c r="L189" s="14">
        <f>K189*(1+$B$81)</f>
        <v>2963.3356164537895</v>
      </c>
      <c r="M189" s="14">
        <f>L189*(1+$B$81)</f>
        <v>3052.2356849474031</v>
      </c>
      <c r="N189" s="14">
        <f>M189*(1+$B$81)</f>
        <v>3143.8027554958253</v>
      </c>
      <c r="O189" s="14">
        <f>N189*(1+$B$81)</f>
        <v>3238.1168381607004</v>
      </c>
      <c r="P189" s="14">
        <f>O189*(1+$B$81)</f>
        <v>3335.2603433055215</v>
      </c>
    </row>
    <row r="190" spans="1:17" s="14" customFormat="1" x14ac:dyDescent="0.3">
      <c r="A190" s="14" t="s">
        <v>48</v>
      </c>
      <c r="B190" s="14">
        <f>B177*$B59</f>
        <v>2151</v>
      </c>
      <c r="C190" s="14">
        <f>B190*(1+$B$81)</f>
        <v>2215.5300000000002</v>
      </c>
      <c r="D190" s="14">
        <f>C190*(1+$B$81)</f>
        <v>2281.9959000000003</v>
      </c>
      <c r="E190" s="14">
        <f>D190*(1+$B$81)</f>
        <v>2350.4557770000006</v>
      </c>
      <c r="F190" s="14">
        <f>E190*(1+$B$81)</f>
        <v>2420.9694503100009</v>
      </c>
      <c r="G190" s="14">
        <f>F190*(1+$B$81)</f>
        <v>2493.5985338193009</v>
      </c>
      <c r="H190" s="14">
        <f>G190*(1+$B$81)</f>
        <v>2568.4064898338802</v>
      </c>
      <c r="I190" s="14">
        <f>H190*(1+$B$81)</f>
        <v>2645.4586845288968</v>
      </c>
      <c r="J190" s="14">
        <f>I190*(1+$B$81)</f>
        <v>2724.822445064764</v>
      </c>
      <c r="K190" s="14">
        <f>J190*(1+$B$81)</f>
        <v>2806.5671184167068</v>
      </c>
      <c r="L190" s="14">
        <f>K190*(1+$B$81)</f>
        <v>2890.7641319692079</v>
      </c>
      <c r="M190" s="14">
        <f>L190*(1+$B$81)</f>
        <v>2977.4870559282845</v>
      </c>
      <c r="N190" s="14">
        <f>M190*(1+$B$81)</f>
        <v>3066.8116676061331</v>
      </c>
      <c r="O190" s="14">
        <f>N190*(1+$B$81)</f>
        <v>3158.8160176343172</v>
      </c>
      <c r="P190" s="14">
        <f>O190*(1+$B$81)</f>
        <v>3253.5804981633469</v>
      </c>
    </row>
    <row r="191" spans="1:17" s="14" customFormat="1" x14ac:dyDescent="0.3">
      <c r="A191" s="14" t="s">
        <v>49</v>
      </c>
      <c r="B191" s="14">
        <f>B177*$B60</f>
        <v>430.2</v>
      </c>
      <c r="C191" s="14">
        <f>B191*(1+$B$81)</f>
        <v>443.10599999999999</v>
      </c>
      <c r="D191" s="14">
        <f>C191*(1+$B$81)</f>
        <v>456.39918</v>
      </c>
      <c r="E191" s="14">
        <f>D191*(1+$B$81)</f>
        <v>470.09115539999999</v>
      </c>
      <c r="F191" s="14">
        <f>E191*(1+$B$81)</f>
        <v>484.19389006199998</v>
      </c>
      <c r="G191" s="14">
        <f>F191*(1+$B$81)</f>
        <v>498.71970676386002</v>
      </c>
      <c r="H191" s="14">
        <f>G191*(1+$B$81)</f>
        <v>513.68129796677579</v>
      </c>
      <c r="I191" s="14">
        <f>H191*(1+$B$81)</f>
        <v>529.09173690577904</v>
      </c>
      <c r="J191" s="14">
        <f>I191*(1+$B$81)</f>
        <v>544.96448901295241</v>
      </c>
      <c r="K191" s="14">
        <f>J191*(1+$B$81)</f>
        <v>561.31342368334094</v>
      </c>
      <c r="L191" s="14">
        <f>K191*(1+$B$81)</f>
        <v>578.15282639384122</v>
      </c>
      <c r="M191" s="14">
        <f>L191*(1+$B$81)</f>
        <v>595.49741118565646</v>
      </c>
      <c r="N191" s="14">
        <f>M191*(1+$B$81)</f>
        <v>613.36233352122622</v>
      </c>
      <c r="O191" s="14">
        <f>N191*(1+$B$81)</f>
        <v>631.76320352686298</v>
      </c>
      <c r="P191" s="14">
        <f>O191*(1+$B$81)</f>
        <v>650.71609963266894</v>
      </c>
    </row>
    <row r="192" spans="1:17" s="14" customFormat="1" x14ac:dyDescent="0.3">
      <c r="A192" s="14" t="s">
        <v>50</v>
      </c>
      <c r="B192" s="14">
        <f>12*B61</f>
        <v>1440</v>
      </c>
      <c r="C192" s="14">
        <f>B192*(1+$B$81)</f>
        <v>1483.2</v>
      </c>
      <c r="D192" s="14">
        <f>C192*(1+$B$81)</f>
        <v>1527.6960000000001</v>
      </c>
      <c r="E192" s="14">
        <f>D192*(1+$B$81)</f>
        <v>1573.5268800000001</v>
      </c>
      <c r="F192" s="14">
        <f>E192*(1+$B$81)</f>
        <v>1620.7326864000001</v>
      </c>
      <c r="G192" s="14">
        <f>F192*(1+$B$81)</f>
        <v>1669.3546669920001</v>
      </c>
      <c r="H192" s="14">
        <f>G192*(1+$B$81)</f>
        <v>1719.4353070017603</v>
      </c>
      <c r="I192" s="14">
        <f>H192*(1+$B$81)</f>
        <v>1771.0183662118131</v>
      </c>
      <c r="J192" s="14">
        <f>I192*(1+$B$81)</f>
        <v>1824.1489171981675</v>
      </c>
      <c r="K192" s="14">
        <f>J192*(1+$B$81)</f>
        <v>1878.8733847141125</v>
      </c>
      <c r="L192" s="14">
        <f>K192*(1+$B$81)</f>
        <v>1935.2395862555359</v>
      </c>
      <c r="M192" s="14">
        <f>L192*(1+$B$81)</f>
        <v>1993.2967738432019</v>
      </c>
      <c r="N192" s="14">
        <f>M192*(1+$B$81)</f>
        <v>2053.095677058498</v>
      </c>
      <c r="O192" s="14">
        <f>N192*(1+$B$81)</f>
        <v>2114.6885473702532</v>
      </c>
      <c r="P192" s="14">
        <f>O192*(1+$B$81)</f>
        <v>2178.1292037913609</v>
      </c>
    </row>
    <row r="193" spans="1:24" s="14" customFormat="1" x14ac:dyDescent="0.3">
      <c r="A193" s="14" t="s">
        <v>103</v>
      </c>
      <c r="D193" s="14">
        <f>B83</f>
        <v>1500</v>
      </c>
      <c r="F193" s="14">
        <f>B83</f>
        <v>1500</v>
      </c>
      <c r="H193" s="14">
        <f>B83</f>
        <v>1500</v>
      </c>
      <c r="J193" s="14">
        <f>B83</f>
        <v>1500</v>
      </c>
      <c r="L193" s="14">
        <f>B83</f>
        <v>1500</v>
      </c>
      <c r="N193" s="14">
        <f>B83</f>
        <v>1500</v>
      </c>
      <c r="P193" s="14">
        <f>B83</f>
        <v>1500</v>
      </c>
    </row>
    <row r="194" spans="1:24" s="14" customFormat="1" ht="15" thickBot="1" x14ac:dyDescent="0.35">
      <c r="A194" s="14" t="s">
        <v>7</v>
      </c>
      <c r="B194" s="49">
        <f>SUM(B183:B192)</f>
        <v>8811.2000000000007</v>
      </c>
      <c r="C194" s="49">
        <f>SUM(C183:C192)</f>
        <v>8060.9859999999999</v>
      </c>
      <c r="D194" s="49">
        <f>SUM(D183:D193)</f>
        <v>10513.45558</v>
      </c>
      <c r="E194" s="49">
        <f>SUM(E183:E193)</f>
        <v>8551.9000474000022</v>
      </c>
      <c r="F194" s="49">
        <f>SUM(F183:F193)</f>
        <v>10993.253524822001</v>
      </c>
      <c r="G194" s="49">
        <f>SUM(G183:G193)</f>
        <v>9072.7107602866618</v>
      </c>
      <c r="H194" s="49">
        <f>SUM(H183:H193)</f>
        <v>11502.271164483662</v>
      </c>
      <c r="I194" s="49">
        <f>SUM(I183:I193)</f>
        <v>9625.2388455881191</v>
      </c>
      <c r="J194" s="49">
        <f>SUM(J183:J193)</f>
        <v>12042.287978400716</v>
      </c>
      <c r="K194" s="49">
        <f>SUM(K183:K193)</f>
        <v>10211.415891284436</v>
      </c>
      <c r="L194" s="49">
        <f>SUM(L183:L193)</f>
        <v>12615.191816285322</v>
      </c>
      <c r="M194" s="49">
        <f>SUM(M183:M193)</f>
        <v>10833.291119063661</v>
      </c>
      <c r="N194" s="49">
        <f>SUM(N183:N193)</f>
        <v>13222.985497897098</v>
      </c>
      <c r="O194" s="49">
        <f>SUM(O183:O193)</f>
        <v>11493.038548214638</v>
      </c>
      <c r="P194" s="49">
        <f>SUM(P183:P193)</f>
        <v>13867.793814719033</v>
      </c>
      <c r="Q194" s="49">
        <f>SUM(Q183:Q192)</f>
        <v>4673.9022498022932</v>
      </c>
    </row>
    <row r="195" spans="1:24" s="14" customFormat="1" ht="15" thickTop="1" x14ac:dyDescent="0.3"/>
    <row r="196" spans="1:24" s="14" customFormat="1" x14ac:dyDescent="0.3">
      <c r="A196" s="14" t="s">
        <v>15</v>
      </c>
      <c r="B196" s="14">
        <f>PMT(B65,B66,-B63*B84)</f>
        <v>4857.7283272275527</v>
      </c>
      <c r="C196" s="14">
        <f>B196</f>
        <v>4857.7283272275527</v>
      </c>
      <c r="D196" s="14">
        <f>C196</f>
        <v>4857.7283272275527</v>
      </c>
      <c r="E196" s="14">
        <f t="shared" ref="E196:P196" si="42">D196</f>
        <v>4857.7283272275527</v>
      </c>
      <c r="F196" s="14">
        <f t="shared" si="42"/>
        <v>4857.7283272275527</v>
      </c>
      <c r="G196" s="14">
        <f t="shared" si="42"/>
        <v>4857.7283272275527</v>
      </c>
      <c r="H196" s="14">
        <f t="shared" si="42"/>
        <v>4857.7283272275527</v>
      </c>
      <c r="I196" s="14">
        <f t="shared" si="42"/>
        <v>4857.7283272275527</v>
      </c>
      <c r="J196" s="14">
        <f t="shared" si="42"/>
        <v>4857.7283272275527</v>
      </c>
      <c r="K196" s="14">
        <f t="shared" si="42"/>
        <v>4857.7283272275527</v>
      </c>
      <c r="L196" s="14">
        <f t="shared" si="42"/>
        <v>4857.7283272275527</v>
      </c>
      <c r="M196" s="14">
        <f t="shared" si="42"/>
        <v>4857.7283272275527</v>
      </c>
      <c r="N196" s="14">
        <f t="shared" si="42"/>
        <v>4857.7283272275527</v>
      </c>
      <c r="O196" s="14">
        <f t="shared" si="42"/>
        <v>4857.7283272275527</v>
      </c>
      <c r="P196" s="14">
        <f t="shared" si="42"/>
        <v>4857.7283272275527</v>
      </c>
      <c r="Q196" s="14">
        <f>FV(B65,15,D110,-B63*B84)</f>
        <v>54010.105582333839</v>
      </c>
    </row>
    <row r="197" spans="1:24" s="14" customFormat="1" x14ac:dyDescent="0.3">
      <c r="R197" s="51" t="s">
        <v>67</v>
      </c>
      <c r="S197" s="51" t="s">
        <v>92</v>
      </c>
      <c r="T197" s="52" t="s">
        <v>23</v>
      </c>
      <c r="U197" s="51" t="s">
        <v>106</v>
      </c>
      <c r="V197" s="52" t="s">
        <v>90</v>
      </c>
      <c r="W197" s="52" t="s">
        <v>91</v>
      </c>
      <c r="X197" s="52" t="s">
        <v>94</v>
      </c>
    </row>
    <row r="198" spans="1:24" s="14" customFormat="1" ht="15" thickBot="1" x14ac:dyDescent="0.35">
      <c r="A198" s="14" t="s">
        <v>8</v>
      </c>
      <c r="B198" s="49">
        <f>B180-B194-B196</f>
        <v>667.27167277244735</v>
      </c>
      <c r="C198" s="49">
        <f>C180-C194-C196</f>
        <v>817.57167277244753</v>
      </c>
      <c r="D198" s="49">
        <f>D180-D194-D196</f>
        <v>777.19067277244721</v>
      </c>
      <c r="E198" s="49">
        <f>E180-E194-E196</f>
        <v>1163.1974427724454</v>
      </c>
      <c r="F198" s="49">
        <f>F180-F194-F196</f>
        <v>1159.0287398724467</v>
      </c>
      <c r="G198" s="49">
        <f>G180-G194-G196</f>
        <v>1529.8718221654472</v>
      </c>
      <c r="H198" s="49">
        <f>H180-H194-H196</f>
        <v>1564.1207452588369</v>
      </c>
      <c r="I198" s="49">
        <f>I180-I194-I196</f>
        <v>1918.8766712634824</v>
      </c>
      <c r="J198" s="49">
        <f>J180-J194-J196</f>
        <v>1993.8828537732588</v>
      </c>
      <c r="K198" s="49">
        <f>K180-K194-K196</f>
        <v>2331.5719156715859</v>
      </c>
      <c r="L198" s="49">
        <f>L180-L194-L196</f>
        <v>2449.8174746962104</v>
      </c>
      <c r="M198" s="49">
        <f>M180-M194-M196</f>
        <v>2769.4003004641436</v>
      </c>
      <c r="N198" s="49">
        <f>N180-N194-N196</f>
        <v>2933.518514033367</v>
      </c>
      <c r="O198" s="49">
        <f>O180-O194-O196</f>
        <v>3233.8924338905708</v>
      </c>
      <c r="P198" s="49">
        <f>P180-P194-P196</f>
        <v>3446.6769466661608</v>
      </c>
      <c r="Q198" s="49">
        <f>Q180-Q194-Q196</f>
        <v>44146.938502421632</v>
      </c>
      <c r="R198" s="14">
        <f>SUM(B198:Q198)</f>
        <v>72902.82838126694</v>
      </c>
      <c r="S198" s="14">
        <f>-SUM(B178:P178)</f>
        <v>18669.589759461589</v>
      </c>
      <c r="T198" s="14">
        <f>SUM(B191:P191)</f>
        <v>8001.2527540549636</v>
      </c>
      <c r="U198" s="14">
        <v>0</v>
      </c>
      <c r="V198" s="53">
        <f>(-B63*(1-B84))-SUM(B176:P176)</f>
        <v>-36000</v>
      </c>
      <c r="W198" s="14">
        <f>SUM(R198:V198)</f>
        <v>63573.670894783485</v>
      </c>
      <c r="X198" s="32">
        <f>RATE(15,0,V198,(-V198+W198))</f>
        <v>7.0178285100058052E-2</v>
      </c>
    </row>
    <row r="199" spans="1:24" ht="15" thickTop="1" x14ac:dyDescent="0.3">
      <c r="A199" t="s">
        <v>83</v>
      </c>
      <c r="B199" s="30">
        <f>(B180-B194)/B196</f>
        <v>1.1373629045972768</v>
      </c>
      <c r="C199" s="30">
        <f>(C180-C194)/C196</f>
        <v>1.1683032927531087</v>
      </c>
      <c r="D199" s="30">
        <f>(D180-D194)/D196</f>
        <v>1.1599905594588926</v>
      </c>
      <c r="E199" s="30">
        <f>(E180-E194)/E196</f>
        <v>1.2394529632817726</v>
      </c>
      <c r="F199" s="30">
        <f>(F180-F194)/F196</f>
        <v>1.2385948043607327</v>
      </c>
      <c r="G199" s="30">
        <f>(G180-G194)/G196</f>
        <v>1.314935648745633</v>
      </c>
      <c r="H199" s="30">
        <f>(H180-H194)/H196</f>
        <v>1.3219860477770946</v>
      </c>
      <c r="I199" s="30">
        <f>(I180-I194)/I196</f>
        <v>1.3950152297542422</v>
      </c>
      <c r="J199" s="30">
        <f>(J180-J194)/J196</f>
        <v>1.4104558179175133</v>
      </c>
      <c r="K199" s="30">
        <f>(K180-K194)/K196</f>
        <v>1.4799716572462756</v>
      </c>
      <c r="L199" s="30">
        <f>(L180-L194)/L196</f>
        <v>1.5043133970594837</v>
      </c>
      <c r="M199" s="30">
        <f>(M180-M194)/M196</f>
        <v>1.5701019311725737</v>
      </c>
      <c r="N199" s="30">
        <f>(N180-N194)/N196</f>
        <v>1.6038869027711995</v>
      </c>
      <c r="O199" s="30">
        <f>(O180-O194)/O196</f>
        <v>1.665721138780984</v>
      </c>
      <c r="P199" s="30">
        <f>(P180-P194)/P196</f>
        <v>1.7095244349807599</v>
      </c>
    </row>
    <row r="244" spans="1:1" x14ac:dyDescent="0.3">
      <c r="A244" s="19" t="s">
        <v>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383d43-593f-4d5d-9d6a-6d9329a2bb34" xsi:nil="true"/>
    <lcf76f155ced4ddcb4097134ff3c332f xmlns="33de2ffa-3f87-46bf-ae6a-37f56cc707d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844E1DC5B6E845BC3AAA4E5733CB8E" ma:contentTypeVersion="18" ma:contentTypeDescription="Create a new document." ma:contentTypeScope="" ma:versionID="dc47cf6b3e93dfd7dfee1fe5ad4483e7">
  <xsd:schema xmlns:xsd="http://www.w3.org/2001/XMLSchema" xmlns:xs="http://www.w3.org/2001/XMLSchema" xmlns:p="http://schemas.microsoft.com/office/2006/metadata/properties" xmlns:ns2="33de2ffa-3f87-46bf-ae6a-37f56cc707d1" xmlns:ns3="3f383d43-593f-4d5d-9d6a-6d9329a2bb34" targetNamespace="http://schemas.microsoft.com/office/2006/metadata/properties" ma:root="true" ma:fieldsID="2c57aadedb73d30645ab6f7a865ff62a" ns2:_="" ns3:_="">
    <xsd:import namespace="33de2ffa-3f87-46bf-ae6a-37f56cc707d1"/>
    <xsd:import namespace="3f383d43-593f-4d5d-9d6a-6d9329a2bb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e2ffa-3f87-46bf-ae6a-37f56cc707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4aa415b-28e3-47e5-b16d-cd92b2b0e8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383d43-593f-4d5d-9d6a-6d9329a2bb3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dec2672-5711-491a-a0db-10fa3a4f5a0d}" ma:internalName="TaxCatchAll" ma:showField="CatchAllData" ma:web="3f383d43-593f-4d5d-9d6a-6d9329a2bb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5F65C8-C309-4AE1-8AE9-EA6966722185}">
  <ds:schemaRefs>
    <ds:schemaRef ds:uri="http://schemas.microsoft.com/office/2006/metadata/properties"/>
    <ds:schemaRef ds:uri="http://schemas.microsoft.com/office/infopath/2007/PartnerControls"/>
    <ds:schemaRef ds:uri="3f383d43-593f-4d5d-9d6a-6d9329a2bb34"/>
    <ds:schemaRef ds:uri="33de2ffa-3f87-46bf-ae6a-37f56cc707d1"/>
  </ds:schemaRefs>
</ds:datastoreItem>
</file>

<file path=customXml/itemProps2.xml><?xml version="1.0" encoding="utf-8"?>
<ds:datastoreItem xmlns:ds="http://schemas.openxmlformats.org/officeDocument/2006/customXml" ds:itemID="{46B4E2E8-51D0-443E-95B8-6086A656D7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0D0B12-23CF-4FB5-BA96-7CC386CA6C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de2ffa-3f87-46bf-ae6a-37f56cc707d1"/>
    <ds:schemaRef ds:uri="3f383d43-593f-4d5d-9d6a-6d9329a2bb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Lease-to-Own Model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Teig Whaley-Smith</dc:creator>
  <cp:lastModifiedBy>Teig Whaley-Smith</cp:lastModifiedBy>
  <dcterms:created xsi:type="dcterms:W3CDTF">2025-12-08T20:54:46Z</dcterms:created>
  <dcterms:modified xsi:type="dcterms:W3CDTF">2025-12-15T20:50:00Z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0x010100D3844E1DC5B6E845BC3AAA4E5733CB8E</vt:lpwstr>
  </property>
  <property fmtid="{D5CDD505-2E9C-101B-9397-08002B2CF9AE}" pid="3" name="MediaServiceImageTags">
    <vt:lpwstr/>
  </property>
</Properties>
</file>